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ttings" sheetId="2" state="visible" r:id="rId4"/>
    <sheet name="Pipeline Review" sheetId="3" state="visible" r:id="rId5"/>
    <sheet name="Forecast" sheetId="4" state="visible" r:id="rId6"/>
    <sheet name="Capacity Model" sheetId="5" state="visible" r:id="rId7"/>
    <sheet name="Coaching Tracker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<sst xmlns="http://schemas.openxmlformats.org/spreadsheetml/2006/main" count="205" uniqueCount="131">
  <si>
    <t xml:space="preserve">Sales Manager Toolkit</t>
  </si>
  <si>
    <t xml:space="preserve">The Only Choice | theonlychoice.co</t>
  </si>
  <si>
    <t xml:space="preserve">What this is</t>
  </si>
  <si>
    <t xml:space="preserve">A working set of tools for new and newly promoted sales leaders: run pipeline reviews, call the forecast, size your team, and track coaching. Blue text on yellow = cells you fill in. Everything else calculates.</t>
  </si>
  <si>
    <t xml:space="preserve">How to use it each week</t>
  </si>
  <si>
    <t xml:space="preserve">1. Settings: set your quota target, stage probabilities, and ramp assumptions once.</t>
  </si>
  <si>
    <t xml:space="preserve">2. Pipeline Review: update every open deal before your weekly pipeline review. Answer the five health questions with Y or N. Look at the flags.</t>
  </si>
  <si>
    <t xml:space="preserve">3. Forecast: read the totals, coverage, and the floor/upside range. Compare your call against the weighted number.</t>
  </si>
  <si>
    <t xml:space="preserve">4. Capacity Model: use it when planning hires, setting quotas, or explaining a gap to leadership.</t>
  </si>
  <si>
    <t xml:space="preserve">5. Coaching Tracker: rate each rep 1 to 5 on six skills after call reviews. Pick one focus skill per rep and log your 1:1 dates.</t>
  </si>
  <si>
    <t xml:space="preserve">Sample data</t>
  </si>
  <si>
    <t xml:space="preserve">Rows marked Example show the format. Delete or overwrite them with your own data.</t>
  </si>
  <si>
    <t xml:space="preserve">Settings</t>
  </si>
  <si>
    <t xml:space="preserve">Change these once; the other tabs use them.</t>
  </si>
  <si>
    <t xml:space="preserve">Team quota target (period)</t>
  </si>
  <si>
    <t xml:space="preserve">Closed-won to date</t>
  </si>
  <si>
    <t xml:space="preserve">Target pipeline coverage (x)</t>
  </si>
  <si>
    <t xml:space="preserve">Stage</t>
  </si>
  <si>
    <t xml:space="preserve">Win probability</t>
  </si>
  <si>
    <t xml:space="preserve">Definition (edit to match your process)</t>
  </si>
  <si>
    <t xml:space="preserve">1 Qualify</t>
  </si>
  <si>
    <t xml:space="preserve">Real problem, budget range, and contact confirmed</t>
  </si>
  <si>
    <t xml:space="preserve">2 Discover</t>
  </si>
  <si>
    <t xml:space="preserve">Pain, impact, and decision process mapped</t>
  </si>
  <si>
    <t xml:space="preserve">3 Solution</t>
  </si>
  <si>
    <t xml:space="preserve">Solution fit validated with the champion</t>
  </si>
  <si>
    <t xml:space="preserve">4 Business Case</t>
  </si>
  <si>
    <t xml:space="preserve">Business case built and shared with economic buyer</t>
  </si>
  <si>
    <t xml:space="preserve">5 Negotiate</t>
  </si>
  <si>
    <t xml:space="preserve">Terms and procurement in progress</t>
  </si>
  <si>
    <t xml:space="preserve">6 Closed Won</t>
  </si>
  <si>
    <t xml:space="preserve">Signed</t>
  </si>
  <si>
    <t xml:space="preserve">Rep status</t>
  </si>
  <si>
    <t xml:space="preserve">Capacity factor</t>
  </si>
  <si>
    <t xml:space="preserve">Meaning</t>
  </si>
  <si>
    <t xml:space="preserve">Ramped</t>
  </si>
  <si>
    <t xml:space="preserve">Fully productive</t>
  </si>
  <si>
    <t xml:space="preserve">Ramping</t>
  </si>
  <si>
    <t xml:space="preserve">Producing at part capacity</t>
  </si>
  <si>
    <t xml:space="preserve">Open req</t>
  </si>
  <si>
    <t xml:space="preserve">Hire in progress; discounted for time to hire and ramp</t>
  </si>
  <si>
    <t xml:space="preserve">Weekly Pipeline Review</t>
  </si>
  <si>
    <t xml:space="preserve">Update each open deal. Answer the five health checks with Y or N. Flags highlight deals to inspect first.</t>
  </si>
  <si>
    <t xml:space="preserve">Deal</t>
  </si>
  <si>
    <t xml:space="preserve">Rep</t>
  </si>
  <si>
    <t xml:space="preserve">Amount</t>
  </si>
  <si>
    <t xml:space="preserve">Close date</t>
  </si>
  <si>
    <t xml:space="preserve">Forecast category</t>
  </si>
  <si>
    <t xml:space="preserve">Champion?</t>
  </si>
  <si>
    <t xml:space="preserve">Economic buyer engaged?</t>
  </si>
  <si>
    <t xml:space="preserve">Compelling event / date?</t>
  </si>
  <si>
    <t xml:space="preserve">Next step scheduled?</t>
  </si>
  <si>
    <t xml:space="preserve">Competition known?</t>
  </si>
  <si>
    <t xml:space="preserve">Health (0-5)</t>
  </si>
  <si>
    <t xml:space="preserve">Win prob.</t>
  </si>
  <si>
    <t xml:space="preserve">Weighted $</t>
  </si>
  <si>
    <t xml:space="preserve">Flag</t>
  </si>
  <si>
    <t xml:space="preserve">Acme: platform renewal</t>
  </si>
  <si>
    <t xml:space="preserve">Rep A</t>
  </si>
  <si>
    <t xml:space="preserve">Commit</t>
  </si>
  <si>
    <t xml:space="preserve">Y</t>
  </si>
  <si>
    <t xml:space="preserve">Globex: new logo</t>
  </si>
  <si>
    <t xml:space="preserve">Rep B</t>
  </si>
  <si>
    <t xml:space="preserve">N</t>
  </si>
  <si>
    <t xml:space="preserve">Initech: expansion</t>
  </si>
  <si>
    <t xml:space="preserve">Pipeline</t>
  </si>
  <si>
    <t xml:space="preserve">Umbrella: upsell</t>
  </si>
  <si>
    <t xml:space="preserve">Rep C</t>
  </si>
  <si>
    <t xml:space="preserve">Best Case</t>
  </si>
  <si>
    <t xml:space="preserve">Wayne: enterprise</t>
  </si>
  <si>
    <t xml:space="preserve">Stark: platform</t>
  </si>
  <si>
    <t xml:space="preserve">Cyberdyne: pilot</t>
  </si>
  <si>
    <t xml:space="preserve">Forecast &amp; Coverage</t>
  </si>
  <si>
    <t xml:space="preserve">Calculated from Pipeline Review and Settings. Closed-won deals in the pipeline tab are not counted twice: enter them in Settings only.</t>
  </si>
  <si>
    <t xml:space="preserve">Metric</t>
  </si>
  <si>
    <t xml:space="preserve">Value</t>
  </si>
  <si>
    <t xml:space="preserve">Deals</t>
  </si>
  <si>
    <t xml:space="preserve">At-risk flags</t>
  </si>
  <si>
    <t xml:space="preserve">Team quota target</t>
  </si>
  <si>
    <t xml:space="preserve">Gap to target</t>
  </si>
  <si>
    <t xml:space="preserve">Commit (open deals)</t>
  </si>
  <si>
    <t xml:space="preserve">Best Case (open deals)</t>
  </si>
  <si>
    <t xml:space="preserve">Pipeline (open deals)</t>
  </si>
  <si>
    <t xml:space="preserve">Total open pipeline (excl. Omit)</t>
  </si>
  <si>
    <t xml:space="preserve">Forecast floor (closed + Commit)</t>
  </si>
  <si>
    <t xml:space="preserve">Forecast upside (closed + Commit + Best Case)</t>
  </si>
  <si>
    <t xml:space="preserve">Stage-weighted forecast (closed + weighted open)</t>
  </si>
  <si>
    <t xml:space="preserve">Pipeline coverage of gap (x)</t>
  </si>
  <si>
    <t xml:space="preserve">Target coverage (x)</t>
  </si>
  <si>
    <t xml:space="preserve">Coverage status</t>
  </si>
  <si>
    <t xml:space="preserve">Floor as % of target</t>
  </si>
  <si>
    <t xml:space="preserve">Upside as % of target</t>
  </si>
  <si>
    <t xml:space="preserve">Weighted as % of target</t>
  </si>
  <si>
    <t xml:space="preserve">Commit deals flagged at risk</t>
  </si>
  <si>
    <t xml:space="preserve">Tip: call your forecast as a range (floor to upside) and explain the gap between your call and the weighted number. Track accuracy each period.</t>
  </si>
  <si>
    <t xml:space="preserve">Team Capacity Model</t>
  </si>
  <si>
    <t xml:space="preserve">How much can the team really deliver? Compare with the target and see how many ramped reps you would need.</t>
  </si>
  <si>
    <t xml:space="preserve">Rep / seat</t>
  </si>
  <si>
    <t xml:space="preserve">Status</t>
  </si>
  <si>
    <t xml:space="preserve">Full quota</t>
  </si>
  <si>
    <t xml:space="preserve">Expected attainment</t>
  </si>
  <si>
    <t xml:space="preserve">Expected capacity</t>
  </si>
  <si>
    <t xml:space="preserve">Rep D</t>
  </si>
  <si>
    <t xml:space="preserve">Open seat 1</t>
  </si>
  <si>
    <t xml:space="preserve">Total expected capacity</t>
  </si>
  <si>
    <t xml:space="preserve">Team target</t>
  </si>
  <si>
    <t xml:space="preserve">Capacity vs target</t>
  </si>
  <si>
    <t xml:space="preserve">Capacity as % of target</t>
  </si>
  <si>
    <t xml:space="preserve">Average full quota per seat</t>
  </si>
  <si>
    <t xml:space="preserve">Average expected attainment</t>
  </si>
  <si>
    <t xml:space="preserve">Additional ramped reps needed to hit target</t>
  </si>
  <si>
    <t xml:space="preserve">Quota-to-capacity ratio (quota assigned / target)</t>
  </si>
  <si>
    <t xml:space="preserve">Rule of thumb: assigned quota is usually set at 1.1x to 1.3x the target so the team can miss on some seats and still hit the number. A ratio below 1.0x leaves no margin.</t>
  </si>
  <si>
    <t xml:space="preserve">Coaching Tracker</t>
  </si>
  <si>
    <t xml:space="preserve">Rate each rep 1 (needs work) to 5 (strong) after call and deal reviews. Pick one focus skill at a time.</t>
  </si>
  <si>
    <t xml:space="preserve">Discovery</t>
  </si>
  <si>
    <t xml:space="preserve">Qualification</t>
  </si>
  <si>
    <t xml:space="preserve">Presenting value</t>
  </si>
  <si>
    <t xml:space="preserve">Negotiation</t>
  </si>
  <si>
    <t xml:space="preserve">Pipeline hygiene</t>
  </si>
  <si>
    <t xml:space="preserve">Forecast accuracy</t>
  </si>
  <si>
    <t xml:space="preserve">Average</t>
  </si>
  <si>
    <t xml:space="preserve">Lowest skill</t>
  </si>
  <si>
    <t xml:space="preserve">Current focus</t>
  </si>
  <si>
    <t xml:space="preserve">Last 1:1</t>
  </si>
  <si>
    <t xml:space="preserve">Next 1:1</t>
  </si>
  <si>
    <t xml:space="preserve">Days since 1:1</t>
  </si>
  <si>
    <t xml:space="preserve">Notes / commitments</t>
  </si>
  <si>
    <t xml:space="preserve">Skill average by team:</t>
  </si>
  <si>
    <t xml:space="preserve">Weakest team skill:</t>
  </si>
  <si>
    <t xml:space="preserve">A 1:1 gap over 14 days turns red. Weekly 1:1s are the single biggest coaching habit.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</si>
</sst>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$#,##0"/>
    <numFmt numFmtId="166" formatCode="0.0\x"/>
    <numFmt numFmtId="167" formatCode="0%"/>
    <numFmt numFmtId="168" formatCode="mm/dd/yyyy"/>
    <numFmt numFmtId="169" formatCode="General"/>
    <numFmt numFmtId="170" formatCode="0"/>
    <numFmt numFmtId="171" formatCode="\$#,##0;[RED]&quot;-$&quot;#,##0"/>
    <numFmt numFmtId="172" formatCode="0.00\x"/>
    <numFmt numFmtId="173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3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8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CAA244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B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</row>
    <row r="5" customFormat="false" ht="30" hidden="false" customHeight="true" outlineLevel="0" collapsed="false">
      <c r="B5" s="4" t="s">
        <v>3</v>
      </c>
    </row>
    <row r="6" customFormat="false" ht="15" hidden="false" customHeight="false" outlineLevel="0" collapsed="false">
      <c r="B6" s="4"/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0" customFormat="false" ht="30" hidden="false" customHeight="true" outlineLevel="0" collapsed="false">
      <c r="B10" s="4" t="s">
        <v>7</v>
      </c>
    </row>
    <row r="11" customFormat="false" ht="15" hidden="false" customHeight="false" outlineLevel="0" collapsed="false">
      <c r="B11" s="4" t="s">
        <v>8</v>
      </c>
    </row>
    <row r="12" customFormat="false" ht="30" hidden="false" customHeight="true" outlineLevel="0" collapsed="false">
      <c r="B12" s="4" t="s">
        <v>9</v>
      </c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4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4" customFormat="false" ht="15" hidden="false" customHeight="false" outlineLevel="0" collapsed="false">
      <c r="A4" s="5" t="s">
        <v>14</v>
      </c>
      <c r="B4" s="6" t="n">
        <v>3000000</v>
      </c>
    </row>
    <row r="5" customFormat="false" ht="15" hidden="false" customHeight="false" outlineLevel="0" collapsed="false">
      <c r="A5" s="5" t="s">
        <v>15</v>
      </c>
      <c r="B5" s="6" t="n">
        <v>1100000</v>
      </c>
    </row>
    <row r="6" customFormat="false" ht="15" hidden="false" customHeight="false" outlineLevel="0" collapsed="false">
      <c r="A6" s="5" t="s">
        <v>16</v>
      </c>
      <c r="B6" s="7" t="n">
        <v>3</v>
      </c>
    </row>
    <row r="8" customFormat="false" ht="31.5" hidden="false" customHeight="true" outlineLevel="0" collapsed="false">
      <c r="A8" s="8" t="s">
        <v>17</v>
      </c>
      <c r="B8" s="8" t="s">
        <v>18</v>
      </c>
      <c r="C8" s="8" t="s">
        <v>19</v>
      </c>
    </row>
    <row r="9" customFormat="false" ht="15" hidden="false" customHeight="false" outlineLevel="0" collapsed="false">
      <c r="A9" s="9" t="s">
        <v>20</v>
      </c>
      <c r="B9" s="10" t="n">
        <v>0.1</v>
      </c>
      <c r="C9" s="9" t="s">
        <v>21</v>
      </c>
    </row>
    <row r="10" customFormat="false" ht="15" hidden="false" customHeight="false" outlineLevel="0" collapsed="false">
      <c r="A10" s="9" t="s">
        <v>22</v>
      </c>
      <c r="B10" s="10" t="n">
        <v>0.25</v>
      </c>
      <c r="C10" s="9" t="s">
        <v>23</v>
      </c>
    </row>
    <row r="11" customFormat="false" ht="15" hidden="false" customHeight="false" outlineLevel="0" collapsed="false">
      <c r="A11" s="9" t="s">
        <v>24</v>
      </c>
      <c r="B11" s="10" t="n">
        <v>0.4</v>
      </c>
      <c r="C11" s="9" t="s">
        <v>25</v>
      </c>
    </row>
    <row r="12" customFormat="false" ht="15" hidden="false" customHeight="false" outlineLevel="0" collapsed="false">
      <c r="A12" s="9" t="s">
        <v>26</v>
      </c>
      <c r="B12" s="10" t="n">
        <v>0.6</v>
      </c>
      <c r="C12" s="9" t="s">
        <v>27</v>
      </c>
    </row>
    <row r="13" customFormat="false" ht="15" hidden="false" customHeight="false" outlineLevel="0" collapsed="false">
      <c r="A13" s="9" t="s">
        <v>28</v>
      </c>
      <c r="B13" s="10" t="n">
        <v>0.8</v>
      </c>
      <c r="C13" s="9" t="s">
        <v>29</v>
      </c>
    </row>
    <row r="14" customFormat="false" ht="15" hidden="false" customHeight="false" outlineLevel="0" collapsed="false">
      <c r="A14" s="9" t="s">
        <v>30</v>
      </c>
      <c r="B14" s="10" t="n">
        <v>1</v>
      </c>
      <c r="C14" s="9" t="s">
        <v>31</v>
      </c>
    </row>
    <row r="17" customFormat="false" ht="31.5" hidden="false" customHeight="true" outlineLevel="0" collapsed="false">
      <c r="A17" s="8" t="s">
        <v>32</v>
      </c>
      <c r="B17" s="8" t="s">
        <v>33</v>
      </c>
      <c r="C17" s="8" t="s">
        <v>34</v>
      </c>
    </row>
    <row r="18" customFormat="false" ht="15" hidden="false" customHeight="false" outlineLevel="0" collapsed="false">
      <c r="A18" s="9" t="s">
        <v>35</v>
      </c>
      <c r="B18" s="10" t="n">
        <v>1</v>
      </c>
      <c r="C18" s="9" t="s">
        <v>36</v>
      </c>
    </row>
    <row r="19" customFormat="false" ht="15" hidden="false" customHeight="false" outlineLevel="0" collapsed="false">
      <c r="A19" s="9" t="s">
        <v>37</v>
      </c>
      <c r="B19" s="10" t="n">
        <v>0.5</v>
      </c>
      <c r="C19" s="9" t="s">
        <v>38</v>
      </c>
    </row>
    <row r="20" customFormat="false" ht="15" hidden="false" customHeight="false" outlineLevel="0" collapsed="false">
      <c r="A20" s="9" t="s">
        <v>39</v>
      </c>
      <c r="B20" s="10" t="n">
        <v>0.25</v>
      </c>
      <c r="C20" s="9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AA244"/>
    <pageSetUpPr fitToPage="true"/>
  </sheetPr>
  <dimension ref="A1:O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9" min="8" style="0" width="13"/>
    <col collapsed="false" customWidth="true" hidden="false" outlineLevel="0" max="11" min="10" style="0" width="12"/>
    <col collapsed="false" customWidth="true" hidden="false" outlineLevel="0" max="13" min="12" style="0" width="9"/>
    <col collapsed="false" customWidth="true" hidden="false" outlineLevel="0" max="14" min="14" style="0" width="13"/>
    <col collapsed="false" customWidth="true" hidden="false" outlineLevel="0" max="15" min="15" style="0" width="30"/>
  </cols>
  <sheetData>
    <row r="1" customFormat="false" ht="19.7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4" customFormat="false" ht="31.5" hidden="false" customHeight="true" outlineLevel="0" collapsed="false">
      <c r="A4" s="8" t="s">
        <v>43</v>
      </c>
      <c r="B4" s="8" t="s">
        <v>44</v>
      </c>
      <c r="C4" s="8" t="s">
        <v>17</v>
      </c>
      <c r="D4" s="8" t="s">
        <v>45</v>
      </c>
      <c r="E4" s="8" t="s">
        <v>46</v>
      </c>
      <c r="F4" s="8" t="s">
        <v>47</v>
      </c>
      <c r="G4" s="8" t="s">
        <v>48</v>
      </c>
      <c r="H4" s="8" t="s">
        <v>49</v>
      </c>
      <c r="I4" s="8" t="s">
        <v>50</v>
      </c>
      <c r="J4" s="8" t="s">
        <v>51</v>
      </c>
      <c r="K4" s="8" t="s">
        <v>52</v>
      </c>
      <c r="L4" s="8" t="s">
        <v>53</v>
      </c>
      <c r="M4" s="8" t="s">
        <v>54</v>
      </c>
      <c r="N4" s="8" t="s">
        <v>55</v>
      </c>
      <c r="O4" s="8" t="s">
        <v>56</v>
      </c>
    </row>
    <row r="5" customFormat="false" ht="15" hidden="false" customHeight="false" outlineLevel="0" collapsed="false">
      <c r="A5" s="9" t="s">
        <v>57</v>
      </c>
      <c r="B5" s="9" t="s">
        <v>58</v>
      </c>
      <c r="C5" s="11" t="s">
        <v>26</v>
      </c>
      <c r="D5" s="12" t="n">
        <v>120000</v>
      </c>
      <c r="E5" s="13" t="n">
        <v>46345</v>
      </c>
      <c r="F5" s="11" t="s">
        <v>59</v>
      </c>
      <c r="G5" s="11" t="s">
        <v>60</v>
      </c>
      <c r="H5" s="11" t="s">
        <v>60</v>
      </c>
      <c r="I5" s="11" t="s">
        <v>60</v>
      </c>
      <c r="J5" s="11" t="s">
        <v>60</v>
      </c>
      <c r="K5" s="11" t="s">
        <v>60</v>
      </c>
      <c r="L5" s="14" t="n">
        <f aca="false">IF(C5="","",COUNTIF(G5:K5,"Y"))</f>
        <v>5</v>
      </c>
      <c r="M5" s="15" t="n">
        <f aca="false">IF(C5="","",IFERROR(VLOOKUP(C5,Settings!$A$9:$B$14,2,FALSE()),0))</f>
        <v>0.6</v>
      </c>
      <c r="N5" s="16" t="n">
        <f aca="false">IF(OR(C5="",D5=""),"",D5*M5)</f>
        <v>72000</v>
      </c>
      <c r="O5" s="17" t="str">
        <f aca="true">IF(C5="","",IF(AND(E5&lt;&gt;"",E5&lt;TODAY(),C5&lt;&gt;"6 Closed Won"),"Close date passed: update",IF(AND(F5="Commit",L5&lt;3),"Commit at risk: low health",IF(AND(C5&lt;&gt;"6 Closed Won",J5="N"),"No next step",IF(AND(F5="Commit",H5="N"),"Commit without economic buyer","OK")))))</f>
        <v>OK</v>
      </c>
    </row>
    <row r="6" customFormat="false" ht="15" hidden="false" customHeight="false" outlineLevel="0" collapsed="false">
      <c r="A6" s="9" t="s">
        <v>61</v>
      </c>
      <c r="B6" s="9" t="s">
        <v>62</v>
      </c>
      <c r="C6" s="11" t="s">
        <v>24</v>
      </c>
      <c r="D6" s="12" t="n">
        <v>85000</v>
      </c>
      <c r="E6" s="13" t="n">
        <v>46330</v>
      </c>
      <c r="F6" s="11" t="s">
        <v>59</v>
      </c>
      <c r="G6" s="11" t="s">
        <v>60</v>
      </c>
      <c r="H6" s="11" t="s">
        <v>63</v>
      </c>
      <c r="I6" s="11" t="s">
        <v>63</v>
      </c>
      <c r="J6" s="11" t="s">
        <v>60</v>
      </c>
      <c r="K6" s="11" t="s">
        <v>63</v>
      </c>
      <c r="L6" s="14" t="n">
        <f aca="false">IF(C6="","",COUNTIF(G6:K6,"Y"))</f>
        <v>2</v>
      </c>
      <c r="M6" s="15" t="n">
        <f aca="false">IF(C6="","",IFERROR(VLOOKUP(C6,Settings!$A$9:$B$14,2,FALSE()),0))</f>
        <v>0.4</v>
      </c>
      <c r="N6" s="16" t="n">
        <f aca="false">IF(OR(C6="",D6=""),"",D6*M6)</f>
        <v>34000</v>
      </c>
      <c r="O6" s="17" t="str">
        <f aca="true">IF(C6="","",IF(AND(E6&lt;&gt;"",E6&lt;TODAY(),C6&lt;&gt;"6 Closed Won"),"Close date passed: update",IF(AND(F6="Commit",L6&lt;3),"Commit at risk: low health",IF(AND(C6&lt;&gt;"6 Closed Won",J6="N"),"No next step",IF(AND(F6="Commit",H6="N"),"Commit without economic buyer","OK")))))</f>
        <v>Commit at risk: low health</v>
      </c>
    </row>
    <row r="7" customFormat="false" ht="15" hidden="false" customHeight="false" outlineLevel="0" collapsed="false">
      <c r="A7" s="9" t="s">
        <v>64</v>
      </c>
      <c r="B7" s="9" t="s">
        <v>58</v>
      </c>
      <c r="C7" s="11" t="s">
        <v>22</v>
      </c>
      <c r="D7" s="12" t="n">
        <v>60000</v>
      </c>
      <c r="E7" s="13" t="n">
        <v>46390</v>
      </c>
      <c r="F7" s="11" t="s">
        <v>65</v>
      </c>
      <c r="G7" s="11" t="s">
        <v>63</v>
      </c>
      <c r="H7" s="11" t="s">
        <v>63</v>
      </c>
      <c r="I7" s="11" t="s">
        <v>63</v>
      </c>
      <c r="J7" s="11" t="s">
        <v>63</v>
      </c>
      <c r="K7" s="11" t="s">
        <v>60</v>
      </c>
      <c r="L7" s="14" t="n">
        <f aca="false">IF(C7="","",COUNTIF(G7:K7,"Y"))</f>
        <v>1</v>
      </c>
      <c r="M7" s="15" t="n">
        <f aca="false">IF(C7="","",IFERROR(VLOOKUP(C7,Settings!$A$9:$B$14,2,FALSE()),0))</f>
        <v>0.25</v>
      </c>
      <c r="N7" s="16" t="n">
        <f aca="false">IF(OR(C7="",D7=""),"",D7*M7)</f>
        <v>15000</v>
      </c>
      <c r="O7" s="17" t="str">
        <f aca="true">IF(C7="","",IF(AND(E7&lt;&gt;"",E7&lt;TODAY(),C7&lt;&gt;"6 Closed Won"),"Close date passed: update",IF(AND(F7="Commit",L7&lt;3),"Commit at risk: low health",IF(AND(C7&lt;&gt;"6 Closed Won",J7="N"),"No next step",IF(AND(F7="Commit",H7="N"),"Commit without economic buyer","OK")))))</f>
        <v>No next step</v>
      </c>
    </row>
    <row r="8" customFormat="false" ht="15" hidden="false" customHeight="false" outlineLevel="0" collapsed="false">
      <c r="A8" s="9" t="s">
        <v>66</v>
      </c>
      <c r="B8" s="9" t="s">
        <v>67</v>
      </c>
      <c r="C8" s="11" t="s">
        <v>28</v>
      </c>
      <c r="D8" s="12" t="n">
        <v>200000</v>
      </c>
      <c r="E8" s="13" t="n">
        <v>46295</v>
      </c>
      <c r="F8" s="11" t="s">
        <v>68</v>
      </c>
      <c r="G8" s="11" t="s">
        <v>60</v>
      </c>
      <c r="H8" s="11" t="s">
        <v>60</v>
      </c>
      <c r="I8" s="11" t="s">
        <v>60</v>
      </c>
      <c r="J8" s="11" t="s">
        <v>63</v>
      </c>
      <c r="K8" s="11" t="s">
        <v>60</v>
      </c>
      <c r="L8" s="14" t="n">
        <f aca="false">IF(C8="","",COUNTIF(G8:K8,"Y"))</f>
        <v>4</v>
      </c>
      <c r="M8" s="15" t="n">
        <f aca="false">IF(C8="","",IFERROR(VLOOKUP(C8,Settings!$A$9:$B$14,2,FALSE()),0))</f>
        <v>0.8</v>
      </c>
      <c r="N8" s="16" t="n">
        <f aca="false">IF(OR(C8="",D8=""),"",D8*M8)</f>
        <v>160000</v>
      </c>
      <c r="O8" s="17" t="str">
        <f aca="true">IF(C8="","",IF(AND(E8&lt;&gt;"",E8&lt;TODAY(),C8&lt;&gt;"6 Closed Won"),"Close date passed: update",IF(AND(F8="Commit",L8&lt;3),"Commit at risk: low health",IF(AND(C8&lt;&gt;"6 Closed Won",J8="N"),"No next step",IF(AND(F8="Commit",H8="N"),"Commit without economic buyer","OK")))))</f>
        <v>Close date passed: update</v>
      </c>
    </row>
    <row r="9" customFormat="false" ht="15" hidden="false" customHeight="false" outlineLevel="0" collapsed="false">
      <c r="A9" s="9" t="s">
        <v>69</v>
      </c>
      <c r="B9" s="9" t="s">
        <v>67</v>
      </c>
      <c r="C9" s="11" t="s">
        <v>22</v>
      </c>
      <c r="D9" s="12" t="n">
        <v>900000</v>
      </c>
      <c r="E9" s="13" t="n">
        <v>46400</v>
      </c>
      <c r="F9" s="11" t="s">
        <v>65</v>
      </c>
      <c r="G9" s="11" t="s">
        <v>60</v>
      </c>
      <c r="H9" s="11" t="s">
        <v>63</v>
      </c>
      <c r="I9" s="11" t="s">
        <v>63</v>
      </c>
      <c r="J9" s="11" t="s">
        <v>60</v>
      </c>
      <c r="K9" s="11" t="s">
        <v>63</v>
      </c>
      <c r="L9" s="14" t="n">
        <f aca="false">IF(C9="","",COUNTIF(G9:K9,"Y"))</f>
        <v>2</v>
      </c>
      <c r="M9" s="15" t="n">
        <f aca="false">IF(C9="","",IFERROR(VLOOKUP(C9,Settings!$A$9:$B$14,2,FALSE()),0))</f>
        <v>0.25</v>
      </c>
      <c r="N9" s="16" t="n">
        <f aca="false">IF(OR(C9="",D9=""),"",D9*M9)</f>
        <v>225000</v>
      </c>
      <c r="O9" s="17" t="str">
        <f aca="true">IF(C9="","",IF(AND(E9&lt;&gt;"",E9&lt;TODAY(),C9&lt;&gt;"6 Closed Won"),"Close date passed: update",IF(AND(F9="Commit",L9&lt;3),"Commit at risk: low health",IF(AND(C9&lt;&gt;"6 Closed Won",J9="N"),"No next step",IF(AND(F9="Commit",H9="N"),"Commit without economic buyer","OK")))))</f>
        <v>OK</v>
      </c>
    </row>
    <row r="10" customFormat="false" ht="15" hidden="false" customHeight="false" outlineLevel="0" collapsed="false">
      <c r="A10" s="9" t="s">
        <v>70</v>
      </c>
      <c r="B10" s="9" t="s">
        <v>62</v>
      </c>
      <c r="C10" s="11" t="s">
        <v>24</v>
      </c>
      <c r="D10" s="12" t="n">
        <v>700000</v>
      </c>
      <c r="E10" s="13" t="n">
        <v>46360</v>
      </c>
      <c r="F10" s="11" t="s">
        <v>68</v>
      </c>
      <c r="G10" s="11" t="s">
        <v>60</v>
      </c>
      <c r="H10" s="11" t="s">
        <v>63</v>
      </c>
      <c r="I10" s="11" t="s">
        <v>60</v>
      </c>
      <c r="J10" s="11" t="s">
        <v>60</v>
      </c>
      <c r="K10" s="11" t="s">
        <v>60</v>
      </c>
      <c r="L10" s="14" t="n">
        <f aca="false">IF(C10="","",COUNTIF(G10:K10,"Y"))</f>
        <v>4</v>
      </c>
      <c r="M10" s="15" t="n">
        <f aca="false">IF(C10="","",IFERROR(VLOOKUP(C10,Settings!$A$9:$B$14,2,FALSE()),0))</f>
        <v>0.4</v>
      </c>
      <c r="N10" s="16" t="n">
        <f aca="false">IF(OR(C10="",D10=""),"",D10*M10)</f>
        <v>280000</v>
      </c>
      <c r="O10" s="17" t="str">
        <f aca="true">IF(C10="","",IF(AND(E10&lt;&gt;"",E10&lt;TODAY(),C10&lt;&gt;"6 Closed Won"),"Close date passed: update",IF(AND(F10="Commit",L10&lt;3),"Commit at risk: low health",IF(AND(C10&lt;&gt;"6 Closed Won",J10="N"),"No next step",IF(AND(F10="Commit",H10="N"),"Commit without economic buyer","OK")))))</f>
        <v>OK</v>
      </c>
    </row>
    <row r="11" customFormat="false" ht="15" hidden="false" customHeight="false" outlineLevel="0" collapsed="false">
      <c r="A11" s="9" t="s">
        <v>71</v>
      </c>
      <c r="B11" s="9" t="s">
        <v>58</v>
      </c>
      <c r="C11" s="11" t="s">
        <v>20</v>
      </c>
      <c r="D11" s="12" t="n">
        <v>600000</v>
      </c>
      <c r="E11" s="13" t="n">
        <v>46420</v>
      </c>
      <c r="F11" s="11" t="s">
        <v>65</v>
      </c>
      <c r="G11" s="11" t="s">
        <v>63</v>
      </c>
      <c r="H11" s="11" t="s">
        <v>63</v>
      </c>
      <c r="I11" s="11" t="s">
        <v>63</v>
      </c>
      <c r="J11" s="11" t="s">
        <v>60</v>
      </c>
      <c r="K11" s="11" t="s">
        <v>63</v>
      </c>
      <c r="L11" s="14" t="n">
        <f aca="false">IF(C11="","",COUNTIF(G11:K11,"Y"))</f>
        <v>1</v>
      </c>
      <c r="M11" s="15" t="n">
        <f aca="false">IF(C11="","",IFERROR(VLOOKUP(C11,Settings!$A$9:$B$14,2,FALSE()),0))</f>
        <v>0.1</v>
      </c>
      <c r="N11" s="16" t="n">
        <f aca="false">IF(OR(C11="",D11=""),"",D11*M11)</f>
        <v>60000</v>
      </c>
      <c r="O11" s="17" t="str">
        <f aca="true">IF(C11="","",IF(AND(E11&lt;&gt;"",E11&lt;TODAY(),C11&lt;&gt;"6 Closed Won"),"Close date passed: update",IF(AND(F11="Commit",L11&lt;3),"Commit at risk: low health",IF(AND(C11&lt;&gt;"6 Closed Won",J11="N"),"No next step",IF(AND(F11="Commit",H11="N"),"Commit without economic buyer","OK")))))</f>
        <v>OK</v>
      </c>
    </row>
    <row r="12" customFormat="false" ht="15" hidden="false" customHeight="false" outlineLevel="0" collapsed="false">
      <c r="A12" s="9"/>
      <c r="B12" s="9"/>
      <c r="C12" s="11"/>
      <c r="D12" s="12"/>
      <c r="E12" s="13"/>
      <c r="F12" s="11"/>
      <c r="G12" s="11"/>
      <c r="H12" s="11"/>
      <c r="I12" s="11"/>
      <c r="J12" s="11"/>
      <c r="K12" s="11"/>
      <c r="L12" s="14" t="str">
        <f aca="false">IF(C12="","",COUNTIF(G12:K12,"Y"))</f>
        <v/>
      </c>
      <c r="M12" s="15" t="str">
        <f aca="false">IF(C12="","",IFERROR(VLOOKUP(C12,Settings!$A$9:$B$14,2,FALSE()),0))</f>
        <v/>
      </c>
      <c r="N12" s="16" t="str">
        <f aca="false">IF(OR(C12="",D12=""),"",D12*M12)</f>
        <v/>
      </c>
      <c r="O12" s="17" t="str">
        <f aca="true">IF(C12="","",IF(AND(E12&lt;&gt;"",E12&lt;TODAY(),C12&lt;&gt;"6 Closed Won"),"Close date passed: update",IF(AND(F12="Commit",L12&lt;3),"Commit at risk: low health",IF(AND(C12&lt;&gt;"6 Closed Won",J12="N"),"No next step",IF(AND(F12="Commit",H12="N"),"Commit without economic buyer","OK")))))</f>
        <v/>
      </c>
    </row>
    <row r="13" customFormat="false" ht="15" hidden="false" customHeight="false" outlineLevel="0" collapsed="false">
      <c r="A13" s="9"/>
      <c r="B13" s="9"/>
      <c r="C13" s="11"/>
      <c r="D13" s="12"/>
      <c r="E13" s="13"/>
      <c r="F13" s="11"/>
      <c r="G13" s="11"/>
      <c r="H13" s="11"/>
      <c r="I13" s="11"/>
      <c r="J13" s="11"/>
      <c r="K13" s="11"/>
      <c r="L13" s="14" t="str">
        <f aca="false">IF(C13="","",COUNTIF(G13:K13,"Y"))</f>
        <v/>
      </c>
      <c r="M13" s="15" t="str">
        <f aca="false">IF(C13="","",IFERROR(VLOOKUP(C13,Settings!$A$9:$B$14,2,FALSE()),0))</f>
        <v/>
      </c>
      <c r="N13" s="16" t="str">
        <f aca="false">IF(OR(C13="",D13=""),"",D13*M13)</f>
        <v/>
      </c>
      <c r="O13" s="17" t="str">
        <f aca="true">IF(C13="","",IF(AND(E13&lt;&gt;"",E13&lt;TODAY(),C13&lt;&gt;"6 Closed Won"),"Close date passed: update",IF(AND(F13="Commit",L13&lt;3),"Commit at risk: low health",IF(AND(C13&lt;&gt;"6 Closed Won",J13="N"),"No next step",IF(AND(F13="Commit",H13="N"),"Commit without economic buyer","OK")))))</f>
        <v/>
      </c>
    </row>
    <row r="14" customFormat="false" ht="15" hidden="false" customHeight="false" outlineLevel="0" collapsed="false">
      <c r="A14" s="9"/>
      <c r="B14" s="9"/>
      <c r="C14" s="11"/>
      <c r="D14" s="12"/>
      <c r="E14" s="13"/>
      <c r="F14" s="11"/>
      <c r="G14" s="11"/>
      <c r="H14" s="11"/>
      <c r="I14" s="11"/>
      <c r="J14" s="11"/>
      <c r="K14" s="11"/>
      <c r="L14" s="14" t="str">
        <f aca="false">IF(C14="","",COUNTIF(G14:K14,"Y"))</f>
        <v/>
      </c>
      <c r="M14" s="15" t="str">
        <f aca="false">IF(C14="","",IFERROR(VLOOKUP(C14,Settings!$A$9:$B$14,2,FALSE()),0))</f>
        <v/>
      </c>
      <c r="N14" s="16" t="str">
        <f aca="false">IF(OR(C14="",D14=""),"",D14*M14)</f>
        <v/>
      </c>
      <c r="O14" s="17" t="str">
        <f aca="true">IF(C14="","",IF(AND(E14&lt;&gt;"",E14&lt;TODAY(),C14&lt;&gt;"6 Closed Won"),"Close date passed: update",IF(AND(F14="Commit",L14&lt;3),"Commit at risk: low health",IF(AND(C14&lt;&gt;"6 Closed Won",J14="N"),"No next step",IF(AND(F14="Commit",H14="N"),"Commit without economic buyer","OK")))))</f>
        <v/>
      </c>
    </row>
    <row r="15" customFormat="false" ht="15" hidden="false" customHeight="false" outlineLevel="0" collapsed="false">
      <c r="A15" s="9"/>
      <c r="B15" s="9"/>
      <c r="C15" s="11"/>
      <c r="D15" s="12"/>
      <c r="E15" s="13"/>
      <c r="F15" s="11"/>
      <c r="G15" s="11"/>
      <c r="H15" s="11"/>
      <c r="I15" s="11"/>
      <c r="J15" s="11"/>
      <c r="K15" s="11"/>
      <c r="L15" s="14" t="str">
        <f aca="false">IF(C15="","",COUNTIF(G15:K15,"Y"))</f>
        <v/>
      </c>
      <c r="M15" s="15" t="str">
        <f aca="false">IF(C15="","",IFERROR(VLOOKUP(C15,Settings!$A$9:$B$14,2,FALSE()),0))</f>
        <v/>
      </c>
      <c r="N15" s="16" t="str">
        <f aca="false">IF(OR(C15="",D15=""),"",D15*M15)</f>
        <v/>
      </c>
      <c r="O15" s="17" t="str">
        <f aca="true">IF(C15="","",IF(AND(E15&lt;&gt;"",E15&lt;TODAY(),C15&lt;&gt;"6 Closed Won"),"Close date passed: update",IF(AND(F15="Commit",L15&lt;3),"Commit at risk: low health",IF(AND(C15&lt;&gt;"6 Closed Won",J15="N"),"No next step",IF(AND(F15="Commit",H15="N"),"Commit without economic buyer","OK")))))</f>
        <v/>
      </c>
    </row>
    <row r="16" customFormat="false" ht="15" hidden="false" customHeight="false" outlineLevel="0" collapsed="false">
      <c r="A16" s="9"/>
      <c r="B16" s="9"/>
      <c r="C16" s="11"/>
      <c r="D16" s="12"/>
      <c r="E16" s="13"/>
      <c r="F16" s="11"/>
      <c r="G16" s="11"/>
      <c r="H16" s="11"/>
      <c r="I16" s="11"/>
      <c r="J16" s="11"/>
      <c r="K16" s="11"/>
      <c r="L16" s="14" t="str">
        <f aca="false">IF(C16="","",COUNTIF(G16:K16,"Y"))</f>
        <v/>
      </c>
      <c r="M16" s="15" t="str">
        <f aca="false">IF(C16="","",IFERROR(VLOOKUP(C16,Settings!$A$9:$B$14,2,FALSE()),0))</f>
        <v/>
      </c>
      <c r="N16" s="16" t="str">
        <f aca="false">IF(OR(C16="",D16=""),"",D16*M16)</f>
        <v/>
      </c>
      <c r="O16" s="17" t="str">
        <f aca="true">IF(C16="","",IF(AND(E16&lt;&gt;"",E16&lt;TODAY(),C16&lt;&gt;"6 Closed Won"),"Close date passed: update",IF(AND(F16="Commit",L16&lt;3),"Commit at risk: low health",IF(AND(C16&lt;&gt;"6 Closed Won",J16="N"),"No next step",IF(AND(F16="Commit",H16="N"),"Commit without economic buyer","OK")))))</f>
        <v/>
      </c>
    </row>
    <row r="17" customFormat="false" ht="15" hidden="false" customHeight="false" outlineLevel="0" collapsed="false">
      <c r="A17" s="9"/>
      <c r="B17" s="9"/>
      <c r="C17" s="11"/>
      <c r="D17" s="12"/>
      <c r="E17" s="13"/>
      <c r="F17" s="11"/>
      <c r="G17" s="11"/>
      <c r="H17" s="11"/>
      <c r="I17" s="11"/>
      <c r="J17" s="11"/>
      <c r="K17" s="11"/>
      <c r="L17" s="14" t="str">
        <f aca="false">IF(C17="","",COUNTIF(G17:K17,"Y"))</f>
        <v/>
      </c>
      <c r="M17" s="15" t="str">
        <f aca="false">IF(C17="","",IFERROR(VLOOKUP(C17,Settings!$A$9:$B$14,2,FALSE()),0))</f>
        <v/>
      </c>
      <c r="N17" s="16" t="str">
        <f aca="false">IF(OR(C17="",D17=""),"",D17*M17)</f>
        <v/>
      </c>
      <c r="O17" s="17" t="str">
        <f aca="true">IF(C17="","",IF(AND(E17&lt;&gt;"",E17&lt;TODAY(),C17&lt;&gt;"6 Closed Won"),"Close date passed: update",IF(AND(F17="Commit",L17&lt;3),"Commit at risk: low health",IF(AND(C17&lt;&gt;"6 Closed Won",J17="N"),"No next step",IF(AND(F17="Commit",H17="N"),"Commit without economic buyer","OK")))))</f>
        <v/>
      </c>
    </row>
    <row r="18" customFormat="false" ht="15" hidden="false" customHeight="false" outlineLevel="0" collapsed="false">
      <c r="A18" s="9"/>
      <c r="B18" s="9"/>
      <c r="C18" s="11"/>
      <c r="D18" s="12"/>
      <c r="E18" s="13"/>
      <c r="F18" s="11"/>
      <c r="G18" s="11"/>
      <c r="H18" s="11"/>
      <c r="I18" s="11"/>
      <c r="J18" s="11"/>
      <c r="K18" s="11"/>
      <c r="L18" s="14" t="str">
        <f aca="false">IF(C18="","",COUNTIF(G18:K18,"Y"))</f>
        <v/>
      </c>
      <c r="M18" s="15" t="str">
        <f aca="false">IF(C18="","",IFERROR(VLOOKUP(C18,Settings!$A$9:$B$14,2,FALSE()),0))</f>
        <v/>
      </c>
      <c r="N18" s="16" t="str">
        <f aca="false">IF(OR(C18="",D18=""),"",D18*M18)</f>
        <v/>
      </c>
      <c r="O18" s="17" t="str">
        <f aca="true">IF(C18="","",IF(AND(E18&lt;&gt;"",E18&lt;TODAY(),C18&lt;&gt;"6 Closed Won"),"Close date passed: update",IF(AND(F18="Commit",L18&lt;3),"Commit at risk: low health",IF(AND(C18&lt;&gt;"6 Closed Won",J18="N"),"No next step",IF(AND(F18="Commit",H18="N"),"Commit without economic buyer","OK")))))</f>
        <v/>
      </c>
    </row>
    <row r="19" customFormat="false" ht="15" hidden="false" customHeight="false" outlineLevel="0" collapsed="false">
      <c r="A19" s="9"/>
      <c r="B19" s="9"/>
      <c r="C19" s="11"/>
      <c r="D19" s="12"/>
      <c r="E19" s="13"/>
      <c r="F19" s="11"/>
      <c r="G19" s="11"/>
      <c r="H19" s="11"/>
      <c r="I19" s="11"/>
      <c r="J19" s="11"/>
      <c r="K19" s="11"/>
      <c r="L19" s="14" t="str">
        <f aca="false">IF(C19="","",COUNTIF(G19:K19,"Y"))</f>
        <v/>
      </c>
      <c r="M19" s="15" t="str">
        <f aca="false">IF(C19="","",IFERROR(VLOOKUP(C19,Settings!$A$9:$B$14,2,FALSE()),0))</f>
        <v/>
      </c>
      <c r="N19" s="16" t="str">
        <f aca="false">IF(OR(C19="",D19=""),"",D19*M19)</f>
        <v/>
      </c>
      <c r="O19" s="17" t="str">
        <f aca="true">IF(C19="","",IF(AND(E19&lt;&gt;"",E19&lt;TODAY(),C19&lt;&gt;"6 Closed Won"),"Close date passed: update",IF(AND(F19="Commit",L19&lt;3),"Commit at risk: low health",IF(AND(C19&lt;&gt;"6 Closed Won",J19="N"),"No next step",IF(AND(F19="Commit",H19="N"),"Commit without economic buyer","OK")))))</f>
        <v/>
      </c>
    </row>
    <row r="20" customFormat="false" ht="15" hidden="false" customHeight="false" outlineLevel="0" collapsed="false">
      <c r="A20" s="9"/>
      <c r="B20" s="9"/>
      <c r="C20" s="11"/>
      <c r="D20" s="12"/>
      <c r="E20" s="13"/>
      <c r="F20" s="11"/>
      <c r="G20" s="11"/>
      <c r="H20" s="11"/>
      <c r="I20" s="11"/>
      <c r="J20" s="11"/>
      <c r="K20" s="11"/>
      <c r="L20" s="14" t="str">
        <f aca="false">IF(C20="","",COUNTIF(G20:K20,"Y"))</f>
        <v/>
      </c>
      <c r="M20" s="15" t="str">
        <f aca="false">IF(C20="","",IFERROR(VLOOKUP(C20,Settings!$A$9:$B$14,2,FALSE()),0))</f>
        <v/>
      </c>
      <c r="N20" s="16" t="str">
        <f aca="false">IF(OR(C20="",D20=""),"",D20*M20)</f>
        <v/>
      </c>
      <c r="O20" s="17" t="str">
        <f aca="true">IF(C20="","",IF(AND(E20&lt;&gt;"",E20&lt;TODAY(),C20&lt;&gt;"6 Closed Won"),"Close date passed: update",IF(AND(F20="Commit",L20&lt;3),"Commit at risk: low health",IF(AND(C20&lt;&gt;"6 Closed Won",J20="N"),"No next step",IF(AND(F20="Commit",H20="N"),"Commit without economic buyer","OK")))))</f>
        <v/>
      </c>
    </row>
    <row r="21" customFormat="false" ht="15" hidden="false" customHeight="false" outlineLevel="0" collapsed="false">
      <c r="A21" s="9"/>
      <c r="B21" s="9"/>
      <c r="C21" s="11"/>
      <c r="D21" s="12"/>
      <c r="E21" s="13"/>
      <c r="F21" s="11"/>
      <c r="G21" s="11"/>
      <c r="H21" s="11"/>
      <c r="I21" s="11"/>
      <c r="J21" s="11"/>
      <c r="K21" s="11"/>
      <c r="L21" s="14" t="str">
        <f aca="false">IF(C21="","",COUNTIF(G21:K21,"Y"))</f>
        <v/>
      </c>
      <c r="M21" s="15" t="str">
        <f aca="false">IF(C21="","",IFERROR(VLOOKUP(C21,Settings!$A$9:$B$14,2,FALSE()),0))</f>
        <v/>
      </c>
      <c r="N21" s="16" t="str">
        <f aca="false">IF(OR(C21="",D21=""),"",D21*M21)</f>
        <v/>
      </c>
      <c r="O21" s="17" t="str">
        <f aca="true">IF(C21="","",IF(AND(E21&lt;&gt;"",E21&lt;TODAY(),C21&lt;&gt;"6 Closed Won"),"Close date passed: update",IF(AND(F21="Commit",L21&lt;3),"Commit at risk: low health",IF(AND(C21&lt;&gt;"6 Closed Won",J21="N"),"No next step",IF(AND(F21="Commit",H21="N"),"Commit without economic buyer","OK")))))</f>
        <v/>
      </c>
    </row>
    <row r="22" customFormat="false" ht="15" hidden="false" customHeight="false" outlineLevel="0" collapsed="false">
      <c r="A22" s="9"/>
      <c r="B22" s="9"/>
      <c r="C22" s="11"/>
      <c r="D22" s="12"/>
      <c r="E22" s="13"/>
      <c r="F22" s="11"/>
      <c r="G22" s="11"/>
      <c r="H22" s="11"/>
      <c r="I22" s="11"/>
      <c r="J22" s="11"/>
      <c r="K22" s="11"/>
      <c r="L22" s="14" t="str">
        <f aca="false">IF(C22="","",COUNTIF(G22:K22,"Y"))</f>
        <v/>
      </c>
      <c r="M22" s="15" t="str">
        <f aca="false">IF(C22="","",IFERROR(VLOOKUP(C22,Settings!$A$9:$B$14,2,FALSE()),0))</f>
        <v/>
      </c>
      <c r="N22" s="16" t="str">
        <f aca="false">IF(OR(C22="",D22=""),"",D22*M22)</f>
        <v/>
      </c>
      <c r="O22" s="17" t="str">
        <f aca="true">IF(C22="","",IF(AND(E22&lt;&gt;"",E22&lt;TODAY(),C22&lt;&gt;"6 Closed Won"),"Close date passed: update",IF(AND(F22="Commit",L22&lt;3),"Commit at risk: low health",IF(AND(C22&lt;&gt;"6 Closed Won",J22="N"),"No next step",IF(AND(F22="Commit",H22="N"),"Commit without economic buyer","OK")))))</f>
        <v/>
      </c>
    </row>
    <row r="23" customFormat="false" ht="15" hidden="false" customHeight="false" outlineLevel="0" collapsed="false">
      <c r="A23" s="9"/>
      <c r="B23" s="9"/>
      <c r="C23" s="11"/>
      <c r="D23" s="12"/>
      <c r="E23" s="13"/>
      <c r="F23" s="11"/>
      <c r="G23" s="11"/>
      <c r="H23" s="11"/>
      <c r="I23" s="11"/>
      <c r="J23" s="11"/>
      <c r="K23" s="11"/>
      <c r="L23" s="14" t="str">
        <f aca="false">IF(C23="","",COUNTIF(G23:K23,"Y"))</f>
        <v/>
      </c>
      <c r="M23" s="15" t="str">
        <f aca="false">IF(C23="","",IFERROR(VLOOKUP(C23,Settings!$A$9:$B$14,2,FALSE()),0))</f>
        <v/>
      </c>
      <c r="N23" s="16" t="str">
        <f aca="false">IF(OR(C23="",D23=""),"",D23*M23)</f>
        <v/>
      </c>
      <c r="O23" s="17" t="str">
        <f aca="true">IF(C23="","",IF(AND(E23&lt;&gt;"",E23&lt;TODAY(),C23&lt;&gt;"6 Closed Won"),"Close date passed: update",IF(AND(F23="Commit",L23&lt;3),"Commit at risk: low health",IF(AND(C23&lt;&gt;"6 Closed Won",J23="N"),"No next step",IF(AND(F23="Commit",H23="N"),"Commit without economic buyer","OK")))))</f>
        <v/>
      </c>
    </row>
    <row r="24" customFormat="false" ht="15" hidden="false" customHeight="false" outlineLevel="0" collapsed="false">
      <c r="A24" s="9"/>
      <c r="B24" s="9"/>
      <c r="C24" s="11"/>
      <c r="D24" s="12"/>
      <c r="E24" s="13"/>
      <c r="F24" s="11"/>
      <c r="G24" s="11"/>
      <c r="H24" s="11"/>
      <c r="I24" s="11"/>
      <c r="J24" s="11"/>
      <c r="K24" s="11"/>
      <c r="L24" s="14" t="str">
        <f aca="false">IF(C24="","",COUNTIF(G24:K24,"Y"))</f>
        <v/>
      </c>
      <c r="M24" s="15" t="str">
        <f aca="false">IF(C24="","",IFERROR(VLOOKUP(C24,Settings!$A$9:$B$14,2,FALSE()),0))</f>
        <v/>
      </c>
      <c r="N24" s="16" t="str">
        <f aca="false">IF(OR(C24="",D24=""),"",D24*M24)</f>
        <v/>
      </c>
      <c r="O24" s="17" t="str">
        <f aca="true">IF(C24="","",IF(AND(E24&lt;&gt;"",E24&lt;TODAY(),C24&lt;&gt;"6 Closed Won"),"Close date passed: update",IF(AND(F24="Commit",L24&lt;3),"Commit at risk: low health",IF(AND(C24&lt;&gt;"6 Closed Won",J24="N"),"No next step",IF(AND(F24="Commit",H24="N"),"Commit without economic buyer","OK")))))</f>
        <v/>
      </c>
    </row>
    <row r="25" customFormat="false" ht="15" hidden="false" customHeight="false" outlineLevel="0" collapsed="false">
      <c r="A25" s="9"/>
      <c r="B25" s="9"/>
      <c r="C25" s="11"/>
      <c r="D25" s="12"/>
      <c r="E25" s="13"/>
      <c r="F25" s="11"/>
      <c r="G25" s="11"/>
      <c r="H25" s="11"/>
      <c r="I25" s="11"/>
      <c r="J25" s="11"/>
      <c r="K25" s="11"/>
      <c r="L25" s="14" t="str">
        <f aca="false">IF(C25="","",COUNTIF(G25:K25,"Y"))</f>
        <v/>
      </c>
      <c r="M25" s="15" t="str">
        <f aca="false">IF(C25="","",IFERROR(VLOOKUP(C25,Settings!$A$9:$B$14,2,FALSE()),0))</f>
        <v/>
      </c>
      <c r="N25" s="16" t="str">
        <f aca="false">IF(OR(C25="",D25=""),"",D25*M25)</f>
        <v/>
      </c>
      <c r="O25" s="17" t="str">
        <f aca="true">IF(C25="","",IF(AND(E25&lt;&gt;"",E25&lt;TODAY(),C25&lt;&gt;"6 Closed Won"),"Close date passed: update",IF(AND(F25="Commit",L25&lt;3),"Commit at risk: low health",IF(AND(C25&lt;&gt;"6 Closed Won",J25="N"),"No next step",IF(AND(F25="Commit",H25="N"),"Commit without economic buyer","OK")))))</f>
        <v/>
      </c>
    </row>
    <row r="26" customFormat="false" ht="15" hidden="false" customHeight="false" outlineLevel="0" collapsed="false">
      <c r="A26" s="9"/>
      <c r="B26" s="9"/>
      <c r="C26" s="11"/>
      <c r="D26" s="12"/>
      <c r="E26" s="13"/>
      <c r="F26" s="11"/>
      <c r="G26" s="11"/>
      <c r="H26" s="11"/>
      <c r="I26" s="11"/>
      <c r="J26" s="11"/>
      <c r="K26" s="11"/>
      <c r="L26" s="14" t="str">
        <f aca="false">IF(C26="","",COUNTIF(G26:K26,"Y"))</f>
        <v/>
      </c>
      <c r="M26" s="15" t="str">
        <f aca="false">IF(C26="","",IFERROR(VLOOKUP(C26,Settings!$A$9:$B$14,2,FALSE()),0))</f>
        <v/>
      </c>
      <c r="N26" s="16" t="str">
        <f aca="false">IF(OR(C26="",D26=""),"",D26*M26)</f>
        <v/>
      </c>
      <c r="O26" s="17" t="str">
        <f aca="true">IF(C26="","",IF(AND(E26&lt;&gt;"",E26&lt;TODAY(),C26&lt;&gt;"6 Closed Won"),"Close date passed: update",IF(AND(F26="Commit",L26&lt;3),"Commit at risk: low health",IF(AND(C26&lt;&gt;"6 Closed Won",J26="N"),"No next step",IF(AND(F26="Commit",H26="N"),"Commit without economic buyer","OK")))))</f>
        <v/>
      </c>
    </row>
    <row r="27" customFormat="false" ht="15" hidden="false" customHeight="false" outlineLevel="0" collapsed="false">
      <c r="A27" s="9"/>
      <c r="B27" s="9"/>
      <c r="C27" s="11"/>
      <c r="D27" s="12"/>
      <c r="E27" s="13"/>
      <c r="F27" s="11"/>
      <c r="G27" s="11"/>
      <c r="H27" s="11"/>
      <c r="I27" s="11"/>
      <c r="J27" s="11"/>
      <c r="K27" s="11"/>
      <c r="L27" s="14" t="str">
        <f aca="false">IF(C27="","",COUNTIF(G27:K27,"Y"))</f>
        <v/>
      </c>
      <c r="M27" s="15" t="str">
        <f aca="false">IF(C27="","",IFERROR(VLOOKUP(C27,Settings!$A$9:$B$14,2,FALSE()),0))</f>
        <v/>
      </c>
      <c r="N27" s="16" t="str">
        <f aca="false">IF(OR(C27="",D27=""),"",D27*M27)</f>
        <v/>
      </c>
      <c r="O27" s="17" t="str">
        <f aca="true">IF(C27="","",IF(AND(E27&lt;&gt;"",E27&lt;TODAY(),C27&lt;&gt;"6 Closed Won"),"Close date passed: update",IF(AND(F27="Commit",L27&lt;3),"Commit at risk: low health",IF(AND(C27&lt;&gt;"6 Closed Won",J27="N"),"No next step",IF(AND(F27="Commit",H27="N"),"Commit without economic buyer","OK")))))</f>
        <v/>
      </c>
    </row>
    <row r="28" customFormat="false" ht="15" hidden="false" customHeight="false" outlineLevel="0" collapsed="false">
      <c r="A28" s="9"/>
      <c r="B28" s="9"/>
      <c r="C28" s="11"/>
      <c r="D28" s="12"/>
      <c r="E28" s="13"/>
      <c r="F28" s="11"/>
      <c r="G28" s="11"/>
      <c r="H28" s="11"/>
      <c r="I28" s="11"/>
      <c r="J28" s="11"/>
      <c r="K28" s="11"/>
      <c r="L28" s="14" t="str">
        <f aca="false">IF(C28="","",COUNTIF(G28:K28,"Y"))</f>
        <v/>
      </c>
      <c r="M28" s="15" t="str">
        <f aca="false">IF(C28="","",IFERROR(VLOOKUP(C28,Settings!$A$9:$B$14,2,FALSE()),0))</f>
        <v/>
      </c>
      <c r="N28" s="16" t="str">
        <f aca="false">IF(OR(C28="",D28=""),"",D28*M28)</f>
        <v/>
      </c>
      <c r="O28" s="17" t="str">
        <f aca="true">IF(C28="","",IF(AND(E28&lt;&gt;"",E28&lt;TODAY(),C28&lt;&gt;"6 Closed Won"),"Close date passed: update",IF(AND(F28="Commit",L28&lt;3),"Commit at risk: low health",IF(AND(C28&lt;&gt;"6 Closed Won",J28="N"),"No next step",IF(AND(F28="Commit",H28="N"),"Commit without economic buyer","OK")))))</f>
        <v/>
      </c>
    </row>
    <row r="29" customFormat="false" ht="15" hidden="false" customHeight="false" outlineLevel="0" collapsed="false">
      <c r="A29" s="9"/>
      <c r="B29" s="9"/>
      <c r="C29" s="11"/>
      <c r="D29" s="12"/>
      <c r="E29" s="13"/>
      <c r="F29" s="11"/>
      <c r="G29" s="11"/>
      <c r="H29" s="11"/>
      <c r="I29" s="11"/>
      <c r="J29" s="11"/>
      <c r="K29" s="11"/>
      <c r="L29" s="14" t="str">
        <f aca="false">IF(C29="","",COUNTIF(G29:K29,"Y"))</f>
        <v/>
      </c>
      <c r="M29" s="15" t="str">
        <f aca="false">IF(C29="","",IFERROR(VLOOKUP(C29,Settings!$A$9:$B$14,2,FALSE()),0))</f>
        <v/>
      </c>
      <c r="N29" s="16" t="str">
        <f aca="false">IF(OR(C29="",D29=""),"",D29*M29)</f>
        <v/>
      </c>
      <c r="O29" s="17" t="str">
        <f aca="true">IF(C29="","",IF(AND(E29&lt;&gt;"",E29&lt;TODAY(),C29&lt;&gt;"6 Closed Won"),"Close date passed: update",IF(AND(F29="Commit",L29&lt;3),"Commit at risk: low health",IF(AND(C29&lt;&gt;"6 Closed Won",J29="N"),"No next step",IF(AND(F29="Commit",H29="N"),"Commit without economic buyer","OK")))))</f>
        <v/>
      </c>
    </row>
    <row r="30" customFormat="false" ht="15" hidden="false" customHeight="false" outlineLevel="0" collapsed="false">
      <c r="A30" s="9"/>
      <c r="B30" s="9"/>
      <c r="C30" s="11"/>
      <c r="D30" s="12"/>
      <c r="E30" s="13"/>
      <c r="F30" s="11"/>
      <c r="G30" s="11"/>
      <c r="H30" s="11"/>
      <c r="I30" s="11"/>
      <c r="J30" s="11"/>
      <c r="K30" s="11"/>
      <c r="L30" s="14" t="str">
        <f aca="false">IF(C30="","",COUNTIF(G30:K30,"Y"))</f>
        <v/>
      </c>
      <c r="M30" s="15" t="str">
        <f aca="false">IF(C30="","",IFERROR(VLOOKUP(C30,Settings!$A$9:$B$14,2,FALSE()),0))</f>
        <v/>
      </c>
      <c r="N30" s="16" t="str">
        <f aca="false">IF(OR(C30="",D30=""),"",D30*M30)</f>
        <v/>
      </c>
      <c r="O30" s="17" t="str">
        <f aca="true">IF(C30="","",IF(AND(E30&lt;&gt;"",E30&lt;TODAY(),C30&lt;&gt;"6 Closed Won"),"Close date passed: update",IF(AND(F30="Commit",L30&lt;3),"Commit at risk: low health",IF(AND(C30&lt;&gt;"6 Closed Won",J30="N"),"No next step",IF(AND(F30="Commit",H30="N"),"Commit without economic buyer","OK")))))</f>
        <v/>
      </c>
    </row>
    <row r="31" customFormat="false" ht="15" hidden="false" customHeight="false" outlineLevel="0" collapsed="false">
      <c r="A31" s="9"/>
      <c r="B31" s="9"/>
      <c r="C31" s="11"/>
      <c r="D31" s="12"/>
      <c r="E31" s="13"/>
      <c r="F31" s="11"/>
      <c r="G31" s="11"/>
      <c r="H31" s="11"/>
      <c r="I31" s="11"/>
      <c r="J31" s="11"/>
      <c r="K31" s="11"/>
      <c r="L31" s="14" t="str">
        <f aca="false">IF(C31="","",COUNTIF(G31:K31,"Y"))</f>
        <v/>
      </c>
      <c r="M31" s="15" t="str">
        <f aca="false">IF(C31="","",IFERROR(VLOOKUP(C31,Settings!$A$9:$B$14,2,FALSE()),0))</f>
        <v/>
      </c>
      <c r="N31" s="16" t="str">
        <f aca="false">IF(OR(C31="",D31=""),"",D31*M31)</f>
        <v/>
      </c>
      <c r="O31" s="17" t="str">
        <f aca="true">IF(C31="","",IF(AND(E31&lt;&gt;"",E31&lt;TODAY(),C31&lt;&gt;"6 Closed Won"),"Close date passed: update",IF(AND(F31="Commit",L31&lt;3),"Commit at risk: low health",IF(AND(C31&lt;&gt;"6 Closed Won",J31="N"),"No next step",IF(AND(F31="Commit",H31="N"),"Commit without economic buyer","OK")))))</f>
        <v/>
      </c>
    </row>
    <row r="32" customFormat="false" ht="15" hidden="false" customHeight="false" outlineLevel="0" collapsed="false">
      <c r="A32" s="9"/>
      <c r="B32" s="9"/>
      <c r="C32" s="11"/>
      <c r="D32" s="12"/>
      <c r="E32" s="13"/>
      <c r="F32" s="11"/>
      <c r="G32" s="11"/>
      <c r="H32" s="11"/>
      <c r="I32" s="11"/>
      <c r="J32" s="11"/>
      <c r="K32" s="11"/>
      <c r="L32" s="14" t="str">
        <f aca="false">IF(C32="","",COUNTIF(G32:K32,"Y"))</f>
        <v/>
      </c>
      <c r="M32" s="15" t="str">
        <f aca="false">IF(C32="","",IFERROR(VLOOKUP(C32,Settings!$A$9:$B$14,2,FALSE()),0))</f>
        <v/>
      </c>
      <c r="N32" s="16" t="str">
        <f aca="false">IF(OR(C32="",D32=""),"",D32*M32)</f>
        <v/>
      </c>
      <c r="O32" s="17" t="str">
        <f aca="true">IF(C32="","",IF(AND(E32&lt;&gt;"",E32&lt;TODAY(),C32&lt;&gt;"6 Closed Won"),"Close date passed: update",IF(AND(F32="Commit",L32&lt;3),"Commit at risk: low health",IF(AND(C32&lt;&gt;"6 Closed Won",J32="N"),"No next step",IF(AND(F32="Commit",H32="N"),"Commit without economic buyer","OK")))))</f>
        <v/>
      </c>
    </row>
    <row r="33" customFormat="false" ht="15" hidden="false" customHeight="false" outlineLevel="0" collapsed="false">
      <c r="A33" s="9"/>
      <c r="B33" s="9"/>
      <c r="C33" s="11"/>
      <c r="D33" s="12"/>
      <c r="E33" s="13"/>
      <c r="F33" s="11"/>
      <c r="G33" s="11"/>
      <c r="H33" s="11"/>
      <c r="I33" s="11"/>
      <c r="J33" s="11"/>
      <c r="K33" s="11"/>
      <c r="L33" s="14" t="str">
        <f aca="false">IF(C33="","",COUNTIF(G33:K33,"Y"))</f>
        <v/>
      </c>
      <c r="M33" s="15" t="str">
        <f aca="false">IF(C33="","",IFERROR(VLOOKUP(C33,Settings!$A$9:$B$14,2,FALSE()),0))</f>
        <v/>
      </c>
      <c r="N33" s="16" t="str">
        <f aca="false">IF(OR(C33="",D33=""),"",D33*M33)</f>
        <v/>
      </c>
      <c r="O33" s="17" t="str">
        <f aca="true">IF(C33="","",IF(AND(E33&lt;&gt;"",E33&lt;TODAY(),C33&lt;&gt;"6 Closed Won"),"Close date passed: update",IF(AND(F33="Commit",L33&lt;3),"Commit at risk: low health",IF(AND(C33&lt;&gt;"6 Closed Won",J33="N"),"No next step",IF(AND(F33="Commit",H33="N"),"Commit without economic buyer","OK")))))</f>
        <v/>
      </c>
    </row>
    <row r="34" customFormat="false" ht="15" hidden="false" customHeight="false" outlineLevel="0" collapsed="false">
      <c r="A34" s="9"/>
      <c r="B34" s="9"/>
      <c r="C34" s="11"/>
      <c r="D34" s="12"/>
      <c r="E34" s="13"/>
      <c r="F34" s="11"/>
      <c r="G34" s="11"/>
      <c r="H34" s="11"/>
      <c r="I34" s="11"/>
      <c r="J34" s="11"/>
      <c r="K34" s="11"/>
      <c r="L34" s="14" t="str">
        <f aca="false">IF(C34="","",COUNTIF(G34:K34,"Y"))</f>
        <v/>
      </c>
      <c r="M34" s="15" t="str">
        <f aca="false">IF(C34="","",IFERROR(VLOOKUP(C34,Settings!$A$9:$B$14,2,FALSE()),0))</f>
        <v/>
      </c>
      <c r="N34" s="16" t="str">
        <f aca="false">IF(OR(C34="",D34=""),"",D34*M34)</f>
        <v/>
      </c>
      <c r="O34" s="17" t="str">
        <f aca="true">IF(C34="","",IF(AND(E34&lt;&gt;"",E34&lt;TODAY(),C34&lt;&gt;"6 Closed Won"),"Close date passed: update",IF(AND(F34="Commit",L34&lt;3),"Commit at risk: low health",IF(AND(C34&lt;&gt;"6 Closed Won",J34="N"),"No next step",IF(AND(F34="Commit",H34="N"),"Commit without economic buyer","OK")))))</f>
        <v/>
      </c>
    </row>
    <row r="35" customFormat="false" ht="15" hidden="false" customHeight="false" outlineLevel="0" collapsed="false">
      <c r="A35" s="9"/>
      <c r="B35" s="9"/>
      <c r="C35" s="11"/>
      <c r="D35" s="12"/>
      <c r="E35" s="13"/>
      <c r="F35" s="11"/>
      <c r="G35" s="11"/>
      <c r="H35" s="11"/>
      <c r="I35" s="11"/>
      <c r="J35" s="11"/>
      <c r="K35" s="11"/>
      <c r="L35" s="14" t="str">
        <f aca="false">IF(C35="","",COUNTIF(G35:K35,"Y"))</f>
        <v/>
      </c>
      <c r="M35" s="15" t="str">
        <f aca="false">IF(C35="","",IFERROR(VLOOKUP(C35,Settings!$A$9:$B$14,2,FALSE()),0))</f>
        <v/>
      </c>
      <c r="N35" s="16" t="str">
        <f aca="false">IF(OR(C35="",D35=""),"",D35*M35)</f>
        <v/>
      </c>
      <c r="O35" s="17" t="str">
        <f aca="true">IF(C35="","",IF(AND(E35&lt;&gt;"",E35&lt;TODAY(),C35&lt;&gt;"6 Closed Won"),"Close date passed: update",IF(AND(F35="Commit",L35&lt;3),"Commit at risk: low health",IF(AND(C35&lt;&gt;"6 Closed Won",J35="N"),"No next step",IF(AND(F35="Commit",H35="N"),"Commit without economic buyer","OK")))))</f>
        <v/>
      </c>
    </row>
    <row r="36" customFormat="false" ht="15" hidden="false" customHeight="false" outlineLevel="0" collapsed="false">
      <c r="A36" s="9"/>
      <c r="B36" s="9"/>
      <c r="C36" s="11"/>
      <c r="D36" s="12"/>
      <c r="E36" s="13"/>
      <c r="F36" s="11"/>
      <c r="G36" s="11"/>
      <c r="H36" s="11"/>
      <c r="I36" s="11"/>
      <c r="J36" s="11"/>
      <c r="K36" s="11"/>
      <c r="L36" s="14" t="str">
        <f aca="false">IF(C36="","",COUNTIF(G36:K36,"Y"))</f>
        <v/>
      </c>
      <c r="M36" s="15" t="str">
        <f aca="false">IF(C36="","",IFERROR(VLOOKUP(C36,Settings!$A$9:$B$14,2,FALSE()),0))</f>
        <v/>
      </c>
      <c r="N36" s="16" t="str">
        <f aca="false">IF(OR(C36="",D36=""),"",D36*M36)</f>
        <v/>
      </c>
      <c r="O36" s="17" t="str">
        <f aca="true">IF(C36="","",IF(AND(E36&lt;&gt;"",E36&lt;TODAY(),C36&lt;&gt;"6 Closed Won"),"Close date passed: update",IF(AND(F36="Commit",L36&lt;3),"Commit at risk: low health",IF(AND(C36&lt;&gt;"6 Closed Won",J36="N"),"No next step",IF(AND(F36="Commit",H36="N"),"Commit without economic buyer","OK")))))</f>
        <v/>
      </c>
    </row>
    <row r="37" customFormat="false" ht="15" hidden="false" customHeight="false" outlineLevel="0" collapsed="false">
      <c r="A37" s="9"/>
      <c r="B37" s="9"/>
      <c r="C37" s="11"/>
      <c r="D37" s="12"/>
      <c r="E37" s="13"/>
      <c r="F37" s="11"/>
      <c r="G37" s="11"/>
      <c r="H37" s="11"/>
      <c r="I37" s="11"/>
      <c r="J37" s="11"/>
      <c r="K37" s="11"/>
      <c r="L37" s="14" t="str">
        <f aca="false">IF(C37="","",COUNTIF(G37:K37,"Y"))</f>
        <v/>
      </c>
      <c r="M37" s="15" t="str">
        <f aca="false">IF(C37="","",IFERROR(VLOOKUP(C37,Settings!$A$9:$B$14,2,FALSE()),0))</f>
        <v/>
      </c>
      <c r="N37" s="16" t="str">
        <f aca="false">IF(OR(C37="",D37=""),"",D37*M37)</f>
        <v/>
      </c>
      <c r="O37" s="17" t="str">
        <f aca="true">IF(C37="","",IF(AND(E37&lt;&gt;"",E37&lt;TODAY(),C37&lt;&gt;"6 Closed Won"),"Close date passed: update",IF(AND(F37="Commit",L37&lt;3),"Commit at risk: low health",IF(AND(C37&lt;&gt;"6 Closed Won",J37="N"),"No next step",IF(AND(F37="Commit",H37="N"),"Commit without economic buyer","OK")))))</f>
        <v/>
      </c>
    </row>
    <row r="38" customFormat="false" ht="15" hidden="false" customHeight="false" outlineLevel="0" collapsed="false">
      <c r="A38" s="9"/>
      <c r="B38" s="9"/>
      <c r="C38" s="11"/>
      <c r="D38" s="12"/>
      <c r="E38" s="13"/>
      <c r="F38" s="11"/>
      <c r="G38" s="11"/>
      <c r="H38" s="11"/>
      <c r="I38" s="11"/>
      <c r="J38" s="11"/>
      <c r="K38" s="11"/>
      <c r="L38" s="14" t="str">
        <f aca="false">IF(C38="","",COUNTIF(G38:K38,"Y"))</f>
        <v/>
      </c>
      <c r="M38" s="15" t="str">
        <f aca="false">IF(C38="","",IFERROR(VLOOKUP(C38,Settings!$A$9:$B$14,2,FALSE()),0))</f>
        <v/>
      </c>
      <c r="N38" s="16" t="str">
        <f aca="false">IF(OR(C38="",D38=""),"",D38*M38)</f>
        <v/>
      </c>
      <c r="O38" s="17" t="str">
        <f aca="true">IF(C38="","",IF(AND(E38&lt;&gt;"",E38&lt;TODAY(),C38&lt;&gt;"6 Closed Won"),"Close date passed: update",IF(AND(F38="Commit",L38&lt;3),"Commit at risk: low health",IF(AND(C38&lt;&gt;"6 Closed Won",J38="N"),"No next step",IF(AND(F38="Commit",H38="N"),"Commit without economic buyer","OK")))))</f>
        <v/>
      </c>
    </row>
    <row r="39" customFormat="false" ht="15" hidden="false" customHeight="false" outlineLevel="0" collapsed="false">
      <c r="A39" s="9"/>
      <c r="B39" s="9"/>
      <c r="C39" s="11"/>
      <c r="D39" s="12"/>
      <c r="E39" s="13"/>
      <c r="F39" s="11"/>
      <c r="G39" s="11"/>
      <c r="H39" s="11"/>
      <c r="I39" s="11"/>
      <c r="J39" s="11"/>
      <c r="K39" s="11"/>
      <c r="L39" s="14" t="str">
        <f aca="false">IF(C39="","",COUNTIF(G39:K39,"Y"))</f>
        <v/>
      </c>
      <c r="M39" s="15" t="str">
        <f aca="false">IF(C39="","",IFERROR(VLOOKUP(C39,Settings!$A$9:$B$14,2,FALSE()),0))</f>
        <v/>
      </c>
      <c r="N39" s="16" t="str">
        <f aca="false">IF(OR(C39="",D39=""),"",D39*M39)</f>
        <v/>
      </c>
      <c r="O39" s="17" t="str">
        <f aca="true">IF(C39="","",IF(AND(E39&lt;&gt;"",E39&lt;TODAY(),C39&lt;&gt;"6 Closed Won"),"Close date passed: update",IF(AND(F39="Commit",L39&lt;3),"Commit at risk: low health",IF(AND(C39&lt;&gt;"6 Closed Won",J39="N"),"No next step",IF(AND(F39="Commit",H39="N"),"Commit without economic buyer","OK")))))</f>
        <v/>
      </c>
    </row>
    <row r="40" customFormat="false" ht="15" hidden="false" customHeight="false" outlineLevel="0" collapsed="false">
      <c r="A40" s="9"/>
      <c r="B40" s="9"/>
      <c r="C40" s="11"/>
      <c r="D40" s="12"/>
      <c r="E40" s="13"/>
      <c r="F40" s="11"/>
      <c r="G40" s="11"/>
      <c r="H40" s="11"/>
      <c r="I40" s="11"/>
      <c r="J40" s="11"/>
      <c r="K40" s="11"/>
      <c r="L40" s="14" t="str">
        <f aca="false">IF(C40="","",COUNTIF(G40:K40,"Y"))</f>
        <v/>
      </c>
      <c r="M40" s="15" t="str">
        <f aca="false">IF(C40="","",IFERROR(VLOOKUP(C40,Settings!$A$9:$B$14,2,FALSE()),0))</f>
        <v/>
      </c>
      <c r="N40" s="16" t="str">
        <f aca="false">IF(OR(C40="",D40=""),"",D40*M40)</f>
        <v/>
      </c>
      <c r="O40" s="17" t="str">
        <f aca="true">IF(C40="","",IF(AND(E40&lt;&gt;"",E40&lt;TODAY(),C40&lt;&gt;"6 Closed Won"),"Close date passed: update",IF(AND(F40="Commit",L40&lt;3),"Commit at risk: low health",IF(AND(C40&lt;&gt;"6 Closed Won",J40="N"),"No next step",IF(AND(F40="Commit",H40="N"),"Commit without economic buyer","OK")))))</f>
        <v/>
      </c>
    </row>
    <row r="41" customFormat="false" ht="15" hidden="false" customHeight="false" outlineLevel="0" collapsed="false">
      <c r="A41" s="9"/>
      <c r="B41" s="9"/>
      <c r="C41" s="11"/>
      <c r="D41" s="12"/>
      <c r="E41" s="13"/>
      <c r="F41" s="11"/>
      <c r="G41" s="11"/>
      <c r="H41" s="11"/>
      <c r="I41" s="11"/>
      <c r="J41" s="11"/>
      <c r="K41" s="11"/>
      <c r="L41" s="14" t="str">
        <f aca="false">IF(C41="","",COUNTIF(G41:K41,"Y"))</f>
        <v/>
      </c>
      <c r="M41" s="15" t="str">
        <f aca="false">IF(C41="","",IFERROR(VLOOKUP(C41,Settings!$A$9:$B$14,2,FALSE()),0))</f>
        <v/>
      </c>
      <c r="N41" s="16" t="str">
        <f aca="false">IF(OR(C41="",D41=""),"",D41*M41)</f>
        <v/>
      </c>
      <c r="O41" s="17" t="str">
        <f aca="true">IF(C41="","",IF(AND(E41&lt;&gt;"",E41&lt;TODAY(),C41&lt;&gt;"6 Closed Won"),"Close date passed: update",IF(AND(F41="Commit",L41&lt;3),"Commit at risk: low health",IF(AND(C41&lt;&gt;"6 Closed Won",J41="N"),"No next step",IF(AND(F41="Commit",H41="N"),"Commit without economic buyer","OK")))))</f>
        <v/>
      </c>
    </row>
    <row r="42" customFormat="false" ht="15" hidden="false" customHeight="false" outlineLevel="0" collapsed="false">
      <c r="A42" s="9"/>
      <c r="B42" s="9"/>
      <c r="C42" s="11"/>
      <c r="D42" s="12"/>
      <c r="E42" s="13"/>
      <c r="F42" s="11"/>
      <c r="G42" s="11"/>
      <c r="H42" s="11"/>
      <c r="I42" s="11"/>
      <c r="J42" s="11"/>
      <c r="K42" s="11"/>
      <c r="L42" s="14" t="str">
        <f aca="false">IF(C42="","",COUNTIF(G42:K42,"Y"))</f>
        <v/>
      </c>
      <c r="M42" s="15" t="str">
        <f aca="false">IF(C42="","",IFERROR(VLOOKUP(C42,Settings!$A$9:$B$14,2,FALSE()),0))</f>
        <v/>
      </c>
      <c r="N42" s="16" t="str">
        <f aca="false">IF(OR(C42="",D42=""),"",D42*M42)</f>
        <v/>
      </c>
      <c r="O42" s="17" t="str">
        <f aca="true">IF(C42="","",IF(AND(E42&lt;&gt;"",E42&lt;TODAY(),C42&lt;&gt;"6 Closed Won"),"Close date passed: update",IF(AND(F42="Commit",L42&lt;3),"Commit at risk: low health",IF(AND(C42&lt;&gt;"6 Closed Won",J42="N"),"No next step",IF(AND(F42="Commit",H42="N"),"Commit without economic buyer","OK")))))</f>
        <v/>
      </c>
    </row>
    <row r="43" customFormat="false" ht="15" hidden="false" customHeight="false" outlineLevel="0" collapsed="false">
      <c r="A43" s="9"/>
      <c r="B43" s="9"/>
      <c r="C43" s="11"/>
      <c r="D43" s="12"/>
      <c r="E43" s="13"/>
      <c r="F43" s="11"/>
      <c r="G43" s="11"/>
      <c r="H43" s="11"/>
      <c r="I43" s="11"/>
      <c r="J43" s="11"/>
      <c r="K43" s="11"/>
      <c r="L43" s="14" t="str">
        <f aca="false">IF(C43="","",COUNTIF(G43:K43,"Y"))</f>
        <v/>
      </c>
      <c r="M43" s="15" t="str">
        <f aca="false">IF(C43="","",IFERROR(VLOOKUP(C43,Settings!$A$9:$B$14,2,FALSE()),0))</f>
        <v/>
      </c>
      <c r="N43" s="16" t="str">
        <f aca="false">IF(OR(C43="",D43=""),"",D43*M43)</f>
        <v/>
      </c>
      <c r="O43" s="17" t="str">
        <f aca="true">IF(C43="","",IF(AND(E43&lt;&gt;"",E43&lt;TODAY(),C43&lt;&gt;"6 Closed Won"),"Close date passed: update",IF(AND(F43="Commit",L43&lt;3),"Commit at risk: low health",IF(AND(C43&lt;&gt;"6 Closed Won",J43="N"),"No next step",IF(AND(F43="Commit",H43="N"),"Commit without economic buyer","OK")))))</f>
        <v/>
      </c>
    </row>
    <row r="44" customFormat="false" ht="15" hidden="false" customHeight="false" outlineLevel="0" collapsed="false">
      <c r="A44" s="9"/>
      <c r="B44" s="9"/>
      <c r="C44" s="11"/>
      <c r="D44" s="12"/>
      <c r="E44" s="13"/>
      <c r="F44" s="11"/>
      <c r="G44" s="11"/>
      <c r="H44" s="11"/>
      <c r="I44" s="11"/>
      <c r="J44" s="11"/>
      <c r="K44" s="11"/>
      <c r="L44" s="14" t="str">
        <f aca="false">IF(C44="","",COUNTIF(G44:K44,"Y"))</f>
        <v/>
      </c>
      <c r="M44" s="15" t="str">
        <f aca="false">IF(C44="","",IFERROR(VLOOKUP(C44,Settings!$A$9:$B$14,2,FALSE()),0))</f>
        <v/>
      </c>
      <c r="N44" s="16" t="str">
        <f aca="false">IF(OR(C44="",D44=""),"",D44*M44)</f>
        <v/>
      </c>
      <c r="O44" s="17" t="str">
        <f aca="true">IF(C44="","",IF(AND(E44&lt;&gt;"",E44&lt;TODAY(),C44&lt;&gt;"6 Closed Won"),"Close date passed: update",IF(AND(F44="Commit",L44&lt;3),"Commit at risk: low health",IF(AND(C44&lt;&gt;"6 Closed Won",J44="N"),"No next step",IF(AND(F44="Commit",H44="N"),"Commit without economic buyer","OK")))))</f>
        <v/>
      </c>
    </row>
    <row r="45" customFormat="false" ht="15" hidden="false" customHeight="false" outlineLevel="0" collapsed="false">
      <c r="A45" s="9"/>
      <c r="B45" s="9"/>
      <c r="C45" s="11"/>
      <c r="D45" s="12"/>
      <c r="E45" s="13"/>
      <c r="F45" s="11"/>
      <c r="G45" s="11"/>
      <c r="H45" s="11"/>
      <c r="I45" s="11"/>
      <c r="J45" s="11"/>
      <c r="K45" s="11"/>
      <c r="L45" s="14" t="str">
        <f aca="false">IF(C45="","",COUNTIF(G45:K45,"Y"))</f>
        <v/>
      </c>
      <c r="M45" s="15" t="str">
        <f aca="false">IF(C45="","",IFERROR(VLOOKUP(C45,Settings!$A$9:$B$14,2,FALSE()),0))</f>
        <v/>
      </c>
      <c r="N45" s="16" t="str">
        <f aca="false">IF(OR(C45="",D45=""),"",D45*M45)</f>
        <v/>
      </c>
      <c r="O45" s="17" t="str">
        <f aca="true">IF(C45="","",IF(AND(E45&lt;&gt;"",E45&lt;TODAY(),C45&lt;&gt;"6 Closed Won"),"Close date passed: update",IF(AND(F45="Commit",L45&lt;3),"Commit at risk: low health",IF(AND(C45&lt;&gt;"6 Closed Won",J45="N"),"No next step",IF(AND(F45="Commit",H45="N"),"Commit without economic buyer","OK")))))</f>
        <v/>
      </c>
    </row>
    <row r="46" customFormat="false" ht="15" hidden="false" customHeight="false" outlineLevel="0" collapsed="false">
      <c r="A46" s="9"/>
      <c r="B46" s="9"/>
      <c r="C46" s="11"/>
      <c r="D46" s="12"/>
      <c r="E46" s="13"/>
      <c r="F46" s="11"/>
      <c r="G46" s="11"/>
      <c r="H46" s="11"/>
      <c r="I46" s="11"/>
      <c r="J46" s="11"/>
      <c r="K46" s="11"/>
      <c r="L46" s="14" t="str">
        <f aca="false">IF(C46="","",COUNTIF(G46:K46,"Y"))</f>
        <v/>
      </c>
      <c r="M46" s="15" t="str">
        <f aca="false">IF(C46="","",IFERROR(VLOOKUP(C46,Settings!$A$9:$B$14,2,FALSE()),0))</f>
        <v/>
      </c>
      <c r="N46" s="16" t="str">
        <f aca="false">IF(OR(C46="",D46=""),"",D46*M46)</f>
        <v/>
      </c>
      <c r="O46" s="17" t="str">
        <f aca="true">IF(C46="","",IF(AND(E46&lt;&gt;"",E46&lt;TODAY(),C46&lt;&gt;"6 Closed Won"),"Close date passed: update",IF(AND(F46="Commit",L46&lt;3),"Commit at risk: low health",IF(AND(C46&lt;&gt;"6 Closed Won",J46="N"),"No next step",IF(AND(F46="Commit",H46="N"),"Commit without economic buyer","OK")))))</f>
        <v/>
      </c>
    </row>
    <row r="47" customFormat="false" ht="15" hidden="false" customHeight="false" outlineLevel="0" collapsed="false">
      <c r="A47" s="9"/>
      <c r="B47" s="9"/>
      <c r="C47" s="11"/>
      <c r="D47" s="12"/>
      <c r="E47" s="13"/>
      <c r="F47" s="11"/>
      <c r="G47" s="11"/>
      <c r="H47" s="11"/>
      <c r="I47" s="11"/>
      <c r="J47" s="11"/>
      <c r="K47" s="11"/>
      <c r="L47" s="14" t="str">
        <f aca="false">IF(C47="","",COUNTIF(G47:K47,"Y"))</f>
        <v/>
      </c>
      <c r="M47" s="15" t="str">
        <f aca="false">IF(C47="","",IFERROR(VLOOKUP(C47,Settings!$A$9:$B$14,2,FALSE()),0))</f>
        <v/>
      </c>
      <c r="N47" s="16" t="str">
        <f aca="false">IF(OR(C47="",D47=""),"",D47*M47)</f>
        <v/>
      </c>
      <c r="O47" s="17" t="str">
        <f aca="true">IF(C47="","",IF(AND(E47&lt;&gt;"",E47&lt;TODAY(),C47&lt;&gt;"6 Closed Won"),"Close date passed: update",IF(AND(F47="Commit",L47&lt;3),"Commit at risk: low health",IF(AND(C47&lt;&gt;"6 Closed Won",J47="N"),"No next step",IF(AND(F47="Commit",H47="N"),"Commit without economic buyer","OK")))))</f>
        <v/>
      </c>
    </row>
    <row r="48" customFormat="false" ht="15" hidden="false" customHeight="false" outlineLevel="0" collapsed="false">
      <c r="A48" s="9"/>
      <c r="B48" s="9"/>
      <c r="C48" s="11"/>
      <c r="D48" s="12"/>
      <c r="E48" s="13"/>
      <c r="F48" s="11"/>
      <c r="G48" s="11"/>
      <c r="H48" s="11"/>
      <c r="I48" s="11"/>
      <c r="J48" s="11"/>
      <c r="K48" s="11"/>
      <c r="L48" s="14" t="str">
        <f aca="false">IF(C48="","",COUNTIF(G48:K48,"Y"))</f>
        <v/>
      </c>
      <c r="M48" s="15" t="str">
        <f aca="false">IF(C48="","",IFERROR(VLOOKUP(C48,Settings!$A$9:$B$14,2,FALSE()),0))</f>
        <v/>
      </c>
      <c r="N48" s="16" t="str">
        <f aca="false">IF(OR(C48="",D48=""),"",D48*M48)</f>
        <v/>
      </c>
      <c r="O48" s="17" t="str">
        <f aca="true">IF(C48="","",IF(AND(E48&lt;&gt;"",E48&lt;TODAY(),C48&lt;&gt;"6 Closed Won"),"Close date passed: update",IF(AND(F48="Commit",L48&lt;3),"Commit at risk: low health",IF(AND(C48&lt;&gt;"6 Closed Won",J48="N"),"No next step",IF(AND(F48="Commit",H48="N"),"Commit without economic buyer","OK")))))</f>
        <v/>
      </c>
    </row>
    <row r="49" customFormat="false" ht="15" hidden="false" customHeight="false" outlineLevel="0" collapsed="false">
      <c r="A49" s="9"/>
      <c r="B49" s="9"/>
      <c r="C49" s="11"/>
      <c r="D49" s="12"/>
      <c r="E49" s="13"/>
      <c r="F49" s="11"/>
      <c r="G49" s="11"/>
      <c r="H49" s="11"/>
      <c r="I49" s="11"/>
      <c r="J49" s="11"/>
      <c r="K49" s="11"/>
      <c r="L49" s="14" t="str">
        <f aca="false">IF(C49="","",COUNTIF(G49:K49,"Y"))</f>
        <v/>
      </c>
      <c r="M49" s="15" t="str">
        <f aca="false">IF(C49="","",IFERROR(VLOOKUP(C49,Settings!$A$9:$B$14,2,FALSE()),0))</f>
        <v/>
      </c>
      <c r="N49" s="16" t="str">
        <f aca="false">IF(OR(C49="",D49=""),"",D49*M49)</f>
        <v/>
      </c>
      <c r="O49" s="17" t="str">
        <f aca="true">IF(C49="","",IF(AND(E49&lt;&gt;"",E49&lt;TODAY(),C49&lt;&gt;"6 Closed Won"),"Close date passed: update",IF(AND(F49="Commit",L49&lt;3),"Commit at risk: low health",IF(AND(C49&lt;&gt;"6 Closed Won",J49="N"),"No next step",IF(AND(F49="Commit",H49="N"),"Commit without economic buyer","OK")))))</f>
        <v/>
      </c>
    </row>
    <row r="50" customFormat="false" ht="15" hidden="false" customHeight="false" outlineLevel="0" collapsed="false">
      <c r="A50" s="9"/>
      <c r="B50" s="9"/>
      <c r="C50" s="11"/>
      <c r="D50" s="12"/>
      <c r="E50" s="13"/>
      <c r="F50" s="11"/>
      <c r="G50" s="11"/>
      <c r="H50" s="11"/>
      <c r="I50" s="11"/>
      <c r="J50" s="11"/>
      <c r="K50" s="11"/>
      <c r="L50" s="14" t="str">
        <f aca="false">IF(C50="","",COUNTIF(G50:K50,"Y"))</f>
        <v/>
      </c>
      <c r="M50" s="15" t="str">
        <f aca="false">IF(C50="","",IFERROR(VLOOKUP(C50,Settings!$A$9:$B$14,2,FALSE()),0))</f>
        <v/>
      </c>
      <c r="N50" s="16" t="str">
        <f aca="false">IF(OR(C50="",D50=""),"",D50*M50)</f>
        <v/>
      </c>
      <c r="O50" s="17" t="str">
        <f aca="true">IF(C50="","",IF(AND(E50&lt;&gt;"",E50&lt;TODAY(),C50&lt;&gt;"6 Closed Won"),"Close date passed: update",IF(AND(F50="Commit",L50&lt;3),"Commit at risk: low health",IF(AND(C50&lt;&gt;"6 Closed Won",J50="N"),"No next step",IF(AND(F50="Commit",H50="N"),"Commit without economic buyer","OK")))))</f>
        <v/>
      </c>
    </row>
    <row r="51" customFormat="false" ht="15" hidden="false" customHeight="false" outlineLevel="0" collapsed="false">
      <c r="A51" s="9"/>
      <c r="B51" s="9"/>
      <c r="C51" s="11"/>
      <c r="D51" s="12"/>
      <c r="E51" s="13"/>
      <c r="F51" s="11"/>
      <c r="G51" s="11"/>
      <c r="H51" s="11"/>
      <c r="I51" s="11"/>
      <c r="J51" s="11"/>
      <c r="K51" s="11"/>
      <c r="L51" s="14" t="str">
        <f aca="false">IF(C51="","",COUNTIF(G51:K51,"Y"))</f>
        <v/>
      </c>
      <c r="M51" s="15" t="str">
        <f aca="false">IF(C51="","",IFERROR(VLOOKUP(C51,Settings!$A$9:$B$14,2,FALSE()),0))</f>
        <v/>
      </c>
      <c r="N51" s="16" t="str">
        <f aca="false">IF(OR(C51="",D51=""),"",D51*M51)</f>
        <v/>
      </c>
      <c r="O51" s="17" t="str">
        <f aca="true">IF(C51="","",IF(AND(E51&lt;&gt;"",E51&lt;TODAY(),C51&lt;&gt;"6 Closed Won"),"Close date passed: update",IF(AND(F51="Commit",L51&lt;3),"Commit at risk: low health",IF(AND(C51&lt;&gt;"6 Closed Won",J51="N"),"No next step",IF(AND(F51="Commit",H51="N"),"Commit without economic buyer","OK")))))</f>
        <v/>
      </c>
    </row>
    <row r="52" customFormat="false" ht="15" hidden="false" customHeight="false" outlineLevel="0" collapsed="false">
      <c r="A52" s="9"/>
      <c r="B52" s="9"/>
      <c r="C52" s="11"/>
      <c r="D52" s="12"/>
      <c r="E52" s="13"/>
      <c r="F52" s="11"/>
      <c r="G52" s="11"/>
      <c r="H52" s="11"/>
      <c r="I52" s="11"/>
      <c r="J52" s="11"/>
      <c r="K52" s="11"/>
      <c r="L52" s="14" t="str">
        <f aca="false">IF(C52="","",COUNTIF(G52:K52,"Y"))</f>
        <v/>
      </c>
      <c r="M52" s="15" t="str">
        <f aca="false">IF(C52="","",IFERROR(VLOOKUP(C52,Settings!$A$9:$B$14,2,FALSE()),0))</f>
        <v/>
      </c>
      <c r="N52" s="16" t="str">
        <f aca="false">IF(OR(C52="",D52=""),"",D52*M52)</f>
        <v/>
      </c>
      <c r="O52" s="17" t="str">
        <f aca="true">IF(C52="","",IF(AND(E52&lt;&gt;"",E52&lt;TODAY(),C52&lt;&gt;"6 Closed Won"),"Close date passed: update",IF(AND(F52="Commit",L52&lt;3),"Commit at risk: low health",IF(AND(C52&lt;&gt;"6 Closed Won",J52="N"),"No next step",IF(AND(F52="Commit",H52="N"),"Commit without economic buyer","OK")))))</f>
        <v/>
      </c>
    </row>
    <row r="53" customFormat="false" ht="15" hidden="false" customHeight="false" outlineLevel="0" collapsed="false">
      <c r="A53" s="9"/>
      <c r="B53" s="9"/>
      <c r="C53" s="11"/>
      <c r="D53" s="12"/>
      <c r="E53" s="13"/>
      <c r="F53" s="11"/>
      <c r="G53" s="11"/>
      <c r="H53" s="11"/>
      <c r="I53" s="11"/>
      <c r="J53" s="11"/>
      <c r="K53" s="11"/>
      <c r="L53" s="14" t="str">
        <f aca="false">IF(C53="","",COUNTIF(G53:K53,"Y"))</f>
        <v/>
      </c>
      <c r="M53" s="15" t="str">
        <f aca="false">IF(C53="","",IFERROR(VLOOKUP(C53,Settings!$A$9:$B$14,2,FALSE()),0))</f>
        <v/>
      </c>
      <c r="N53" s="16" t="str">
        <f aca="false">IF(OR(C53="",D53=""),"",D53*M53)</f>
        <v/>
      </c>
      <c r="O53" s="17" t="str">
        <f aca="true">IF(C53="","",IF(AND(E53&lt;&gt;"",E53&lt;TODAY(),C53&lt;&gt;"6 Closed Won"),"Close date passed: update",IF(AND(F53="Commit",L53&lt;3),"Commit at risk: low health",IF(AND(C53&lt;&gt;"6 Closed Won",J53="N"),"No next step",IF(AND(F53="Commit",H53="N"),"Commit without economic buyer","OK")))))</f>
        <v/>
      </c>
    </row>
    <row r="54" customFormat="false" ht="15" hidden="false" customHeight="false" outlineLevel="0" collapsed="false">
      <c r="A54" s="9"/>
      <c r="B54" s="9"/>
      <c r="C54" s="11"/>
      <c r="D54" s="12"/>
      <c r="E54" s="13"/>
      <c r="F54" s="11"/>
      <c r="G54" s="11"/>
      <c r="H54" s="11"/>
      <c r="I54" s="11"/>
      <c r="J54" s="11"/>
      <c r="K54" s="11"/>
      <c r="L54" s="14" t="str">
        <f aca="false">IF(C54="","",COUNTIF(G54:K54,"Y"))</f>
        <v/>
      </c>
      <c r="M54" s="15" t="str">
        <f aca="false">IF(C54="","",IFERROR(VLOOKUP(C54,Settings!$A$9:$B$14,2,FALSE()),0))</f>
        <v/>
      </c>
      <c r="N54" s="16" t="str">
        <f aca="false">IF(OR(C54="",D54=""),"",D54*M54)</f>
        <v/>
      </c>
      <c r="O54" s="17" t="str">
        <f aca="true">IF(C54="","",IF(AND(E54&lt;&gt;"",E54&lt;TODAY(),C54&lt;&gt;"6 Closed Won"),"Close date passed: update",IF(AND(F54="Commit",L54&lt;3),"Commit at risk: low health",IF(AND(C54&lt;&gt;"6 Closed Won",J54="N"),"No next step",IF(AND(F54="Commit",H54="N"),"Commit without economic buyer","OK")))))</f>
        <v/>
      </c>
    </row>
    <row r="55" customFormat="false" ht="15" hidden="false" customHeight="false" outlineLevel="0" collapsed="false">
      <c r="A55" s="9"/>
      <c r="B55" s="9"/>
      <c r="C55" s="11"/>
      <c r="D55" s="12"/>
      <c r="E55" s="13"/>
      <c r="F55" s="11"/>
      <c r="G55" s="11"/>
      <c r="H55" s="11"/>
      <c r="I55" s="11"/>
      <c r="J55" s="11"/>
      <c r="K55" s="11"/>
      <c r="L55" s="14" t="str">
        <f aca="false">IF(C55="","",COUNTIF(G55:K55,"Y"))</f>
        <v/>
      </c>
      <c r="M55" s="15" t="str">
        <f aca="false">IF(C55="","",IFERROR(VLOOKUP(C55,Settings!$A$9:$B$14,2,FALSE()),0))</f>
        <v/>
      </c>
      <c r="N55" s="16" t="str">
        <f aca="false">IF(OR(C55="",D55=""),"",D55*M55)</f>
        <v/>
      </c>
      <c r="O55" s="17" t="str">
        <f aca="true">IF(C55="","",IF(AND(E55&lt;&gt;"",E55&lt;TODAY(),C55&lt;&gt;"6 Closed Won"),"Close date passed: update",IF(AND(F55="Commit",L55&lt;3),"Commit at risk: low health",IF(AND(C55&lt;&gt;"6 Closed Won",J55="N"),"No next step",IF(AND(F55="Commit",H55="N"),"Commit without economic buyer","OK")))))</f>
        <v/>
      </c>
    </row>
    <row r="56" customFormat="false" ht="15" hidden="false" customHeight="false" outlineLevel="0" collapsed="false">
      <c r="A56" s="9"/>
      <c r="B56" s="9"/>
      <c r="C56" s="11"/>
      <c r="D56" s="12"/>
      <c r="E56" s="13"/>
      <c r="F56" s="11"/>
      <c r="G56" s="11"/>
      <c r="H56" s="11"/>
      <c r="I56" s="11"/>
      <c r="J56" s="11"/>
      <c r="K56" s="11"/>
      <c r="L56" s="14" t="str">
        <f aca="false">IF(C56="","",COUNTIF(G56:K56,"Y"))</f>
        <v/>
      </c>
      <c r="M56" s="15" t="str">
        <f aca="false">IF(C56="","",IFERROR(VLOOKUP(C56,Settings!$A$9:$B$14,2,FALSE()),0))</f>
        <v/>
      </c>
      <c r="N56" s="16" t="str">
        <f aca="false">IF(OR(C56="",D56=""),"",D56*M56)</f>
        <v/>
      </c>
      <c r="O56" s="17" t="str">
        <f aca="true">IF(C56="","",IF(AND(E56&lt;&gt;"",E56&lt;TODAY(),C56&lt;&gt;"6 Closed Won"),"Close date passed: update",IF(AND(F56="Commit",L56&lt;3),"Commit at risk: low health",IF(AND(C56&lt;&gt;"6 Closed Won",J56="N"),"No next step",IF(AND(F56="Commit",H56="N"),"Commit without economic buyer","OK")))))</f>
        <v/>
      </c>
    </row>
    <row r="57" customFormat="false" ht="15" hidden="false" customHeight="false" outlineLevel="0" collapsed="false">
      <c r="A57" s="9"/>
      <c r="B57" s="9"/>
      <c r="C57" s="11"/>
      <c r="D57" s="12"/>
      <c r="E57" s="13"/>
      <c r="F57" s="11"/>
      <c r="G57" s="11"/>
      <c r="H57" s="11"/>
      <c r="I57" s="11"/>
      <c r="J57" s="11"/>
      <c r="K57" s="11"/>
      <c r="L57" s="14" t="str">
        <f aca="false">IF(C57="","",COUNTIF(G57:K57,"Y"))</f>
        <v/>
      </c>
      <c r="M57" s="15" t="str">
        <f aca="false">IF(C57="","",IFERROR(VLOOKUP(C57,Settings!$A$9:$B$14,2,FALSE()),0))</f>
        <v/>
      </c>
      <c r="N57" s="16" t="str">
        <f aca="false">IF(OR(C57="",D57=""),"",D57*M57)</f>
        <v/>
      </c>
      <c r="O57" s="17" t="str">
        <f aca="true">IF(C57="","",IF(AND(E57&lt;&gt;"",E57&lt;TODAY(),C57&lt;&gt;"6 Closed Won"),"Close date passed: update",IF(AND(F57="Commit",L57&lt;3),"Commit at risk: low health",IF(AND(C57&lt;&gt;"6 Closed Won",J57="N"),"No next step",IF(AND(F57="Commit",H57="N"),"Commit without economic buyer","OK")))))</f>
        <v/>
      </c>
    </row>
    <row r="58" customFormat="false" ht="15" hidden="false" customHeight="false" outlineLevel="0" collapsed="false">
      <c r="A58" s="9"/>
      <c r="B58" s="9"/>
      <c r="C58" s="11"/>
      <c r="D58" s="12"/>
      <c r="E58" s="13"/>
      <c r="F58" s="11"/>
      <c r="G58" s="11"/>
      <c r="H58" s="11"/>
      <c r="I58" s="11"/>
      <c r="J58" s="11"/>
      <c r="K58" s="11"/>
      <c r="L58" s="14" t="str">
        <f aca="false">IF(C58="","",COUNTIF(G58:K58,"Y"))</f>
        <v/>
      </c>
      <c r="M58" s="15" t="str">
        <f aca="false">IF(C58="","",IFERROR(VLOOKUP(C58,Settings!$A$9:$B$14,2,FALSE()),0))</f>
        <v/>
      </c>
      <c r="N58" s="16" t="str">
        <f aca="false">IF(OR(C58="",D58=""),"",D58*M58)</f>
        <v/>
      </c>
      <c r="O58" s="17" t="str">
        <f aca="true">IF(C58="","",IF(AND(E58&lt;&gt;"",E58&lt;TODAY(),C58&lt;&gt;"6 Closed Won"),"Close date passed: update",IF(AND(F58="Commit",L58&lt;3),"Commit at risk: low health",IF(AND(C58&lt;&gt;"6 Closed Won",J58="N"),"No next step",IF(AND(F58="Commit",H58="N"),"Commit without economic buyer","OK")))))</f>
        <v/>
      </c>
    </row>
    <row r="59" customFormat="false" ht="15" hidden="false" customHeight="false" outlineLevel="0" collapsed="false">
      <c r="A59" s="9"/>
      <c r="B59" s="9"/>
      <c r="C59" s="11"/>
      <c r="D59" s="12"/>
      <c r="E59" s="13"/>
      <c r="F59" s="11"/>
      <c r="G59" s="11"/>
      <c r="H59" s="11"/>
      <c r="I59" s="11"/>
      <c r="J59" s="11"/>
      <c r="K59" s="11"/>
      <c r="L59" s="14" t="str">
        <f aca="false">IF(C59="","",COUNTIF(G59:K59,"Y"))</f>
        <v/>
      </c>
      <c r="M59" s="15" t="str">
        <f aca="false">IF(C59="","",IFERROR(VLOOKUP(C59,Settings!$A$9:$B$14,2,FALSE()),0))</f>
        <v/>
      </c>
      <c r="N59" s="16" t="str">
        <f aca="false">IF(OR(C59="",D59=""),"",D59*M59)</f>
        <v/>
      </c>
      <c r="O59" s="17" t="str">
        <f aca="true">IF(C59="","",IF(AND(E59&lt;&gt;"",E59&lt;TODAY(),C59&lt;&gt;"6 Closed Won"),"Close date passed: update",IF(AND(F59="Commit",L59&lt;3),"Commit at risk: low health",IF(AND(C59&lt;&gt;"6 Closed Won",J59="N"),"No next step",IF(AND(F59="Commit",H59="N"),"Commit without economic buyer","OK")))))</f>
        <v/>
      </c>
    </row>
    <row r="60" customFormat="false" ht="15" hidden="false" customHeight="false" outlineLevel="0" collapsed="false">
      <c r="A60" s="9"/>
      <c r="B60" s="9"/>
      <c r="C60" s="11"/>
      <c r="D60" s="12"/>
      <c r="E60" s="13"/>
      <c r="F60" s="11"/>
      <c r="G60" s="11"/>
      <c r="H60" s="11"/>
      <c r="I60" s="11"/>
      <c r="J60" s="11"/>
      <c r="K60" s="11"/>
      <c r="L60" s="14" t="str">
        <f aca="false">IF(C60="","",COUNTIF(G60:K60,"Y"))</f>
        <v/>
      </c>
      <c r="M60" s="15" t="str">
        <f aca="false">IF(C60="","",IFERROR(VLOOKUP(C60,Settings!$A$9:$B$14,2,FALSE()),0))</f>
        <v/>
      </c>
      <c r="N60" s="16" t="str">
        <f aca="false">IF(OR(C60="",D60=""),"",D60*M60)</f>
        <v/>
      </c>
      <c r="O60" s="17" t="str">
        <f aca="true">IF(C60="","",IF(AND(E60&lt;&gt;"",E60&lt;TODAY(),C60&lt;&gt;"6 Closed Won"),"Close date passed: update",IF(AND(F60="Commit",L60&lt;3),"Commit at risk: low health",IF(AND(C60&lt;&gt;"6 Closed Won",J60="N"),"No next step",IF(AND(F60="Commit",H60="N"),"Commit without economic buyer","OK")))))</f>
        <v/>
      </c>
    </row>
    <row r="61" customFormat="false" ht="15" hidden="false" customHeight="false" outlineLevel="0" collapsed="false">
      <c r="A61" s="9"/>
      <c r="B61" s="9"/>
      <c r="C61" s="11"/>
      <c r="D61" s="12"/>
      <c r="E61" s="13"/>
      <c r="F61" s="11"/>
      <c r="G61" s="11"/>
      <c r="H61" s="11"/>
      <c r="I61" s="11"/>
      <c r="J61" s="11"/>
      <c r="K61" s="11"/>
      <c r="L61" s="14" t="str">
        <f aca="false">IF(C61="","",COUNTIF(G61:K61,"Y"))</f>
        <v/>
      </c>
      <c r="M61" s="15" t="str">
        <f aca="false">IF(C61="","",IFERROR(VLOOKUP(C61,Settings!$A$9:$B$14,2,FALSE()),0))</f>
        <v/>
      </c>
      <c r="N61" s="16" t="str">
        <f aca="false">IF(OR(C61="",D61=""),"",D61*M61)</f>
        <v/>
      </c>
      <c r="O61" s="17" t="str">
        <f aca="true">IF(C61="","",IF(AND(E61&lt;&gt;"",E61&lt;TODAY(),C61&lt;&gt;"6 Closed Won"),"Close date passed: update",IF(AND(F61="Commit",L61&lt;3),"Commit at risk: low health",IF(AND(C61&lt;&gt;"6 Closed Won",J61="N"),"No next step",IF(AND(F61="Commit",H61="N"),"Commit without economic buyer","OK")))))</f>
        <v/>
      </c>
    </row>
    <row r="62" customFormat="false" ht="15" hidden="false" customHeight="false" outlineLevel="0" collapsed="false">
      <c r="A62" s="9"/>
      <c r="B62" s="9"/>
      <c r="C62" s="11"/>
      <c r="D62" s="12"/>
      <c r="E62" s="13"/>
      <c r="F62" s="11"/>
      <c r="G62" s="11"/>
      <c r="H62" s="11"/>
      <c r="I62" s="11"/>
      <c r="J62" s="11"/>
      <c r="K62" s="11"/>
      <c r="L62" s="14" t="str">
        <f aca="false">IF(C62="","",COUNTIF(G62:K62,"Y"))</f>
        <v/>
      </c>
      <c r="M62" s="15" t="str">
        <f aca="false">IF(C62="","",IFERROR(VLOOKUP(C62,Settings!$A$9:$B$14,2,FALSE()),0))</f>
        <v/>
      </c>
      <c r="N62" s="16" t="str">
        <f aca="false">IF(OR(C62="",D62=""),"",D62*M62)</f>
        <v/>
      </c>
      <c r="O62" s="17" t="str">
        <f aca="true">IF(C62="","",IF(AND(E62&lt;&gt;"",E62&lt;TODAY(),C62&lt;&gt;"6 Closed Won"),"Close date passed: update",IF(AND(F62="Commit",L62&lt;3),"Commit at risk: low health",IF(AND(C62&lt;&gt;"6 Closed Won",J62="N"),"No next step",IF(AND(F62="Commit",H62="N"),"Commit without economic buyer","OK")))))</f>
        <v/>
      </c>
    </row>
    <row r="63" customFormat="false" ht="15" hidden="false" customHeight="false" outlineLevel="0" collapsed="false">
      <c r="A63" s="9"/>
      <c r="B63" s="9"/>
      <c r="C63" s="11"/>
      <c r="D63" s="12"/>
      <c r="E63" s="13"/>
      <c r="F63" s="11"/>
      <c r="G63" s="11"/>
      <c r="H63" s="11"/>
      <c r="I63" s="11"/>
      <c r="J63" s="11"/>
      <c r="K63" s="11"/>
      <c r="L63" s="14" t="str">
        <f aca="false">IF(C63="","",COUNTIF(G63:K63,"Y"))</f>
        <v/>
      </c>
      <c r="M63" s="15" t="str">
        <f aca="false">IF(C63="","",IFERROR(VLOOKUP(C63,Settings!$A$9:$B$14,2,FALSE()),0))</f>
        <v/>
      </c>
      <c r="N63" s="16" t="str">
        <f aca="false">IF(OR(C63="",D63=""),"",D63*M63)</f>
        <v/>
      </c>
      <c r="O63" s="17" t="str">
        <f aca="true">IF(C63="","",IF(AND(E63&lt;&gt;"",E63&lt;TODAY(),C63&lt;&gt;"6 Closed Won"),"Close date passed: update",IF(AND(F63="Commit",L63&lt;3),"Commit at risk: low health",IF(AND(C63&lt;&gt;"6 Closed Won",J63="N"),"No next step",IF(AND(F63="Commit",H63="N"),"Commit without economic buyer","OK")))))</f>
        <v/>
      </c>
    </row>
    <row r="64" customFormat="false" ht="15" hidden="false" customHeight="false" outlineLevel="0" collapsed="false">
      <c r="A64" s="9"/>
      <c r="B64" s="9"/>
      <c r="C64" s="11"/>
      <c r="D64" s="12"/>
      <c r="E64" s="13"/>
      <c r="F64" s="11"/>
      <c r="G64" s="11"/>
      <c r="H64" s="11"/>
      <c r="I64" s="11"/>
      <c r="J64" s="11"/>
      <c r="K64" s="11"/>
      <c r="L64" s="14" t="str">
        <f aca="false">IF(C64="","",COUNTIF(G64:K64,"Y"))</f>
        <v/>
      </c>
      <c r="M64" s="15" t="str">
        <f aca="false">IF(C64="","",IFERROR(VLOOKUP(C64,Settings!$A$9:$B$14,2,FALSE()),0))</f>
        <v/>
      </c>
      <c r="N64" s="16" t="str">
        <f aca="false">IF(OR(C64="",D64=""),"",D64*M64)</f>
        <v/>
      </c>
      <c r="O64" s="17" t="str">
        <f aca="true">IF(C64="","",IF(AND(E64&lt;&gt;"",E64&lt;TODAY(),C64&lt;&gt;"6 Closed Won"),"Close date passed: update",IF(AND(F64="Commit",L64&lt;3),"Commit at risk: low health",IF(AND(C64&lt;&gt;"6 Closed Won",J64="N"),"No next step",IF(AND(F64="Commit",H64="N"),"Commit without economic buyer","OK")))))</f>
        <v/>
      </c>
    </row>
  </sheetData>
  <conditionalFormatting sqref="O5:O64">
    <cfRule type="expression" priority="2" aboveAverage="0" equalAverage="0" bottom="0" percent="0" rank="0" text="" dxfId="0">
      <formula>AND(O5&lt;&gt;"",O5&lt;&gt;"OK")</formula>
    </cfRule>
    <cfRule type="cellIs" priority="3" operator="equal" aboveAverage="0" equalAverage="0" bottom="0" percent="0" rank="0" text="" dxfId="1">
      <formula>"OK"</formula>
    </cfRule>
  </conditionalFormatting>
  <conditionalFormatting sqref="G5:K64">
    <cfRule type="cellIs" priority="4" operator="equal" aboveAverage="0" equalAverage="0" bottom="0" percent="0" rank="0" text="" dxfId="2">
      <formula>"N"</formula>
    </cfRule>
  </conditionalFormatting>
  <dataValidations count="3">
    <dataValidation allowBlank="false" errorStyle="stop" operator="between" showDropDown="false" showErrorMessage="false" showInputMessage="false" sqref="C5:C64" type="list">
      <formula1>Settings!$A$9:$A$14</formula1>
      <formula2>0</formula2>
    </dataValidation>
    <dataValidation allowBlank="false" errorStyle="stop" operator="between" showDropDown="false" showErrorMessage="false" showInputMessage="false" sqref="F5:F64" type="list">
      <formula1>"Commit,Best Case,Pipeline,Omit"</formula1>
      <formula2>0</formula2>
    </dataValidation>
    <dataValidation allowBlank="false" errorStyle="stop" operator="between" showDropDown="false" showErrorMessage="false" showInputMessage="false" sqref="G5:K64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AA244"/>
    <pageSetUpPr fitToPage="true"/>
  </sheetPr>
  <dimension ref="A1:J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0"/>
    <col collapsed="false" customWidth="true" hidden="false" outlineLevel="0" max="3" min="3" style="0" width="3"/>
    <col collapsed="false" customWidth="true" hidden="false" outlineLevel="0" max="4" min="4" style="0" width="16"/>
    <col collapsed="false" customWidth="true" hidden="false" outlineLevel="0" max="7" min="5" style="0" width="13"/>
    <col collapsed="false" customWidth="true" hidden="false" outlineLevel="0" max="8" min="8" style="0" width="14"/>
    <col collapsed="false" customWidth="true" hidden="false" outlineLevel="0" max="9" min="9" style="0" width="8"/>
    <col collapsed="false" customWidth="true" hidden="false" outlineLevel="0" max="10" min="10" style="0" width="13"/>
  </cols>
  <sheetData>
    <row r="1" customFormat="false" ht="19.7" hidden="false" customHeight="false" outlineLevel="0" collapsed="false">
      <c r="A1" s="1" t="s">
        <v>72</v>
      </c>
    </row>
    <row r="2" customFormat="false" ht="15" hidden="false" customHeight="false" outlineLevel="0" collapsed="false">
      <c r="A2" s="2" t="s">
        <v>73</v>
      </c>
    </row>
    <row r="3" customFormat="false" ht="31.5" hidden="false" customHeight="true" outlineLevel="0" collapsed="false">
      <c r="A3" s="8" t="s">
        <v>74</v>
      </c>
      <c r="B3" s="8" t="s">
        <v>75</v>
      </c>
      <c r="C3" s="8"/>
      <c r="D3" s="8" t="s">
        <v>44</v>
      </c>
      <c r="E3" s="8" t="s">
        <v>59</v>
      </c>
      <c r="F3" s="8" t="s">
        <v>68</v>
      </c>
      <c r="G3" s="8" t="s">
        <v>65</v>
      </c>
      <c r="H3" s="8" t="s">
        <v>55</v>
      </c>
      <c r="I3" s="8" t="s">
        <v>76</v>
      </c>
      <c r="J3" s="8" t="s">
        <v>77</v>
      </c>
    </row>
    <row r="4" customFormat="false" ht="15" hidden="false" customHeight="false" outlineLevel="0" collapsed="false">
      <c r="A4" s="17" t="s">
        <v>78</v>
      </c>
      <c r="B4" s="16" t="n">
        <f aca="false">Settings!B4</f>
        <v>3000000</v>
      </c>
      <c r="C4" s="18"/>
      <c r="D4" s="9" t="s">
        <v>58</v>
      </c>
      <c r="E4" s="16" t="n">
        <f aca="false">IF($D4="","",SUMIFS('Pipeline Review'!$D$5:$D$64,'Pipeline Review'!$B$5:$B$64,$D4,'Pipeline Review'!$F$5:$F$64,"Commit",'Pipeline Review'!$C$5:$C$64,"&lt;&gt;6 Closed Won"))</f>
        <v>120000</v>
      </c>
      <c r="F4" s="16" t="n">
        <f aca="false">IF($D4="","",SUMIFS('Pipeline Review'!$D$5:$D$64,'Pipeline Review'!$B$5:$B$64,$D4,'Pipeline Review'!$F$5:$F$64,"Best Case",'Pipeline Review'!$C$5:$C$64,"&lt;&gt;6 Closed Won"))</f>
        <v>0</v>
      </c>
      <c r="G4" s="16" t="n">
        <f aca="false">IF($D4="","",SUMIFS('Pipeline Review'!$D$5:$D$64,'Pipeline Review'!$B$5:$B$64,$D4,'Pipeline Review'!$F$5:$F$64,"Pipeline",'Pipeline Review'!$C$5:$C$64,"&lt;&gt;6 Closed Won"))</f>
        <v>660000</v>
      </c>
      <c r="H4" s="16" t="n">
        <f aca="false">IF($D4="","",SUMIFS('Pipeline Review'!$N$5:$N$64,'Pipeline Review'!$B$5:$B$64,$D4,'Pipeline Review'!$F$5:$F$64,"&lt;&gt;Omit",'Pipeline Review'!$C$5:$C$64,"&lt;&gt;6 Closed Won"))</f>
        <v>147000</v>
      </c>
      <c r="I4" s="14" t="n">
        <f aca="false">IF($D4="","",COUNTIFS('Pipeline Review'!$B$5:$B$64,$D4,'Pipeline Review'!$C$5:$C$64,"&lt;&gt;",'Pipeline Review'!$C$5:$C$64,"&lt;&gt;6 Closed Won"))</f>
        <v>3</v>
      </c>
      <c r="J4" s="14" t="n">
        <f aca="false">IF($D4="","",COUNTIFS('Pipeline Review'!$B$5:$B$64,$D4,'Pipeline Review'!$O$5:$O$64,"&lt;&gt;OK",'Pipeline Review'!$O$5:$O$64,"&lt;&gt;"))</f>
        <v>1</v>
      </c>
    </row>
    <row r="5" customFormat="false" ht="15" hidden="false" customHeight="false" outlineLevel="0" collapsed="false">
      <c r="A5" s="17" t="s">
        <v>15</v>
      </c>
      <c r="B5" s="16" t="n">
        <f aca="false">Settings!B5</f>
        <v>1100000</v>
      </c>
      <c r="C5" s="18"/>
      <c r="D5" s="9" t="s">
        <v>62</v>
      </c>
      <c r="E5" s="16" t="n">
        <f aca="false">IF($D5="","",SUMIFS('Pipeline Review'!$D$5:$D$64,'Pipeline Review'!$B$5:$B$64,$D5,'Pipeline Review'!$F$5:$F$64,"Commit",'Pipeline Review'!$C$5:$C$64,"&lt;&gt;6 Closed Won"))</f>
        <v>85000</v>
      </c>
      <c r="F5" s="16" t="n">
        <f aca="false">IF($D5="","",SUMIFS('Pipeline Review'!$D$5:$D$64,'Pipeline Review'!$B$5:$B$64,$D5,'Pipeline Review'!$F$5:$F$64,"Best Case",'Pipeline Review'!$C$5:$C$64,"&lt;&gt;6 Closed Won"))</f>
        <v>700000</v>
      </c>
      <c r="G5" s="16" t="n">
        <f aca="false">IF($D5="","",SUMIFS('Pipeline Review'!$D$5:$D$64,'Pipeline Review'!$B$5:$B$64,$D5,'Pipeline Review'!$F$5:$F$64,"Pipeline",'Pipeline Review'!$C$5:$C$64,"&lt;&gt;6 Closed Won"))</f>
        <v>0</v>
      </c>
      <c r="H5" s="16" t="n">
        <f aca="false">IF($D5="","",SUMIFS('Pipeline Review'!$N$5:$N$64,'Pipeline Review'!$B$5:$B$64,$D5,'Pipeline Review'!$F$5:$F$64,"&lt;&gt;Omit",'Pipeline Review'!$C$5:$C$64,"&lt;&gt;6 Closed Won"))</f>
        <v>314000</v>
      </c>
      <c r="I5" s="14" t="n">
        <f aca="false">IF($D5="","",COUNTIFS('Pipeline Review'!$B$5:$B$64,$D5,'Pipeline Review'!$C$5:$C$64,"&lt;&gt;",'Pipeline Review'!$C$5:$C$64,"&lt;&gt;6 Closed Won"))</f>
        <v>2</v>
      </c>
      <c r="J5" s="14" t="n">
        <f aca="false">IF($D5="","",COUNTIFS('Pipeline Review'!$B$5:$B$64,$D5,'Pipeline Review'!$O$5:$O$64,"&lt;&gt;OK",'Pipeline Review'!$O$5:$O$64,"&lt;&gt;"))</f>
        <v>1</v>
      </c>
    </row>
    <row r="6" customFormat="false" ht="15" hidden="false" customHeight="false" outlineLevel="0" collapsed="false">
      <c r="A6" s="17" t="s">
        <v>79</v>
      </c>
      <c r="B6" s="16" t="n">
        <f aca="false">B4-B5</f>
        <v>1900000</v>
      </c>
      <c r="C6" s="18"/>
      <c r="D6" s="9" t="s">
        <v>67</v>
      </c>
      <c r="E6" s="16" t="n">
        <f aca="false">IF($D6="","",SUMIFS('Pipeline Review'!$D$5:$D$64,'Pipeline Review'!$B$5:$B$64,$D6,'Pipeline Review'!$F$5:$F$64,"Commit",'Pipeline Review'!$C$5:$C$64,"&lt;&gt;6 Closed Won"))</f>
        <v>0</v>
      </c>
      <c r="F6" s="16" t="n">
        <f aca="false">IF($D6="","",SUMIFS('Pipeline Review'!$D$5:$D$64,'Pipeline Review'!$B$5:$B$64,$D6,'Pipeline Review'!$F$5:$F$64,"Best Case",'Pipeline Review'!$C$5:$C$64,"&lt;&gt;6 Closed Won"))</f>
        <v>200000</v>
      </c>
      <c r="G6" s="16" t="n">
        <f aca="false">IF($D6="","",SUMIFS('Pipeline Review'!$D$5:$D$64,'Pipeline Review'!$B$5:$B$64,$D6,'Pipeline Review'!$F$5:$F$64,"Pipeline",'Pipeline Review'!$C$5:$C$64,"&lt;&gt;6 Closed Won"))</f>
        <v>900000</v>
      </c>
      <c r="H6" s="16" t="n">
        <f aca="false">IF($D6="","",SUMIFS('Pipeline Review'!$N$5:$N$64,'Pipeline Review'!$B$5:$B$64,$D6,'Pipeline Review'!$F$5:$F$64,"&lt;&gt;Omit",'Pipeline Review'!$C$5:$C$64,"&lt;&gt;6 Closed Won"))</f>
        <v>385000</v>
      </c>
      <c r="I6" s="14" t="n">
        <f aca="false">IF($D6="","",COUNTIFS('Pipeline Review'!$B$5:$B$64,$D6,'Pipeline Review'!$C$5:$C$64,"&lt;&gt;",'Pipeline Review'!$C$5:$C$64,"&lt;&gt;6 Closed Won"))</f>
        <v>2</v>
      </c>
      <c r="J6" s="14" t="n">
        <f aca="false">IF($D6="","",COUNTIFS('Pipeline Review'!$B$5:$B$64,$D6,'Pipeline Review'!$O$5:$O$64,"&lt;&gt;OK",'Pipeline Review'!$O$5:$O$64,"&lt;&gt;"))</f>
        <v>1</v>
      </c>
    </row>
    <row r="7" customFormat="false" ht="15" hidden="false" customHeight="false" outlineLevel="0" collapsed="false">
      <c r="A7" s="17"/>
      <c r="B7" s="17"/>
      <c r="C7" s="18"/>
      <c r="D7" s="9"/>
      <c r="E7" s="16" t="str">
        <f aca="false">IF($D7="","",SUMIFS('Pipeline Review'!$D$5:$D$64,'Pipeline Review'!$B$5:$B$64,$D7,'Pipeline Review'!$F$5:$F$64,"Commit",'Pipeline Review'!$C$5:$C$64,"&lt;&gt;6 Closed Won"))</f>
        <v/>
      </c>
      <c r="F7" s="16" t="str">
        <f aca="false">IF($D7="","",SUMIFS('Pipeline Review'!$D$5:$D$64,'Pipeline Review'!$B$5:$B$64,$D7,'Pipeline Review'!$F$5:$F$64,"Best Case",'Pipeline Review'!$C$5:$C$64,"&lt;&gt;6 Closed Won"))</f>
        <v/>
      </c>
      <c r="G7" s="16" t="str">
        <f aca="false">IF($D7="","",SUMIFS('Pipeline Review'!$D$5:$D$64,'Pipeline Review'!$B$5:$B$64,$D7,'Pipeline Review'!$F$5:$F$64,"Pipeline",'Pipeline Review'!$C$5:$C$64,"&lt;&gt;6 Closed Won"))</f>
        <v/>
      </c>
      <c r="H7" s="16" t="str">
        <f aca="false">IF($D7="","",SUMIFS('Pipeline Review'!$N$5:$N$64,'Pipeline Review'!$B$5:$B$64,$D7,'Pipeline Review'!$F$5:$F$64,"&lt;&gt;Omit",'Pipeline Review'!$C$5:$C$64,"&lt;&gt;6 Closed Won"))</f>
        <v/>
      </c>
      <c r="I7" s="14" t="str">
        <f aca="false">IF($D7="","",COUNTIFS('Pipeline Review'!$B$5:$B$64,$D7,'Pipeline Review'!$C$5:$C$64,"&lt;&gt;",'Pipeline Review'!$C$5:$C$64,"&lt;&gt;6 Closed Won"))</f>
        <v/>
      </c>
      <c r="J7" s="14" t="str">
        <f aca="false">IF($D7="","",COUNTIFS('Pipeline Review'!$B$5:$B$64,$D7,'Pipeline Review'!$O$5:$O$64,"&lt;&gt;OK",'Pipeline Review'!$O$5:$O$64,"&lt;&gt;"))</f>
        <v/>
      </c>
    </row>
    <row r="8" customFormat="false" ht="15" hidden="false" customHeight="false" outlineLevel="0" collapsed="false">
      <c r="A8" s="17" t="s">
        <v>80</v>
      </c>
      <c r="B8" s="16" t="n">
        <f aca="false">SUMIFS('Pipeline Review'!$D$5:$D$64,'Pipeline Review'!$F$5:$F$64,"Commit",'Pipeline Review'!$C$5:$C$64,"&lt;&gt;6 Closed Won")</f>
        <v>205000</v>
      </c>
      <c r="C8" s="18"/>
      <c r="D8" s="9"/>
      <c r="E8" s="16" t="str">
        <f aca="false">IF($D8="","",SUMIFS('Pipeline Review'!$D$5:$D$64,'Pipeline Review'!$B$5:$B$64,$D8,'Pipeline Review'!$F$5:$F$64,"Commit",'Pipeline Review'!$C$5:$C$64,"&lt;&gt;6 Closed Won"))</f>
        <v/>
      </c>
      <c r="F8" s="16" t="str">
        <f aca="false">IF($D8="","",SUMIFS('Pipeline Review'!$D$5:$D$64,'Pipeline Review'!$B$5:$B$64,$D8,'Pipeline Review'!$F$5:$F$64,"Best Case",'Pipeline Review'!$C$5:$C$64,"&lt;&gt;6 Closed Won"))</f>
        <v/>
      </c>
      <c r="G8" s="16" t="str">
        <f aca="false">IF($D8="","",SUMIFS('Pipeline Review'!$D$5:$D$64,'Pipeline Review'!$B$5:$B$64,$D8,'Pipeline Review'!$F$5:$F$64,"Pipeline",'Pipeline Review'!$C$5:$C$64,"&lt;&gt;6 Closed Won"))</f>
        <v/>
      </c>
      <c r="H8" s="16" t="str">
        <f aca="false">IF($D8="","",SUMIFS('Pipeline Review'!$N$5:$N$64,'Pipeline Review'!$B$5:$B$64,$D8,'Pipeline Review'!$F$5:$F$64,"&lt;&gt;Omit",'Pipeline Review'!$C$5:$C$64,"&lt;&gt;6 Closed Won"))</f>
        <v/>
      </c>
      <c r="I8" s="14" t="str">
        <f aca="false">IF($D8="","",COUNTIFS('Pipeline Review'!$B$5:$B$64,$D8,'Pipeline Review'!$C$5:$C$64,"&lt;&gt;",'Pipeline Review'!$C$5:$C$64,"&lt;&gt;6 Closed Won"))</f>
        <v/>
      </c>
      <c r="J8" s="14" t="str">
        <f aca="false">IF($D8="","",COUNTIFS('Pipeline Review'!$B$5:$B$64,$D8,'Pipeline Review'!$O$5:$O$64,"&lt;&gt;OK",'Pipeline Review'!$O$5:$O$64,"&lt;&gt;"))</f>
        <v/>
      </c>
    </row>
    <row r="9" customFormat="false" ht="15" hidden="false" customHeight="false" outlineLevel="0" collapsed="false">
      <c r="A9" s="17" t="s">
        <v>81</v>
      </c>
      <c r="B9" s="16" t="n">
        <f aca="false">SUMIFS('Pipeline Review'!$D$5:$D$64,'Pipeline Review'!$F$5:$F$64,"Best Case",'Pipeline Review'!$C$5:$C$64,"&lt;&gt;6 Closed Won")</f>
        <v>900000</v>
      </c>
      <c r="C9" s="18"/>
      <c r="D9" s="9"/>
      <c r="E9" s="16" t="str">
        <f aca="false">IF($D9="","",SUMIFS('Pipeline Review'!$D$5:$D$64,'Pipeline Review'!$B$5:$B$64,$D9,'Pipeline Review'!$F$5:$F$64,"Commit",'Pipeline Review'!$C$5:$C$64,"&lt;&gt;6 Closed Won"))</f>
        <v/>
      </c>
      <c r="F9" s="16" t="str">
        <f aca="false">IF($D9="","",SUMIFS('Pipeline Review'!$D$5:$D$64,'Pipeline Review'!$B$5:$B$64,$D9,'Pipeline Review'!$F$5:$F$64,"Best Case",'Pipeline Review'!$C$5:$C$64,"&lt;&gt;6 Closed Won"))</f>
        <v/>
      </c>
      <c r="G9" s="16" t="str">
        <f aca="false">IF($D9="","",SUMIFS('Pipeline Review'!$D$5:$D$64,'Pipeline Review'!$B$5:$B$64,$D9,'Pipeline Review'!$F$5:$F$64,"Pipeline",'Pipeline Review'!$C$5:$C$64,"&lt;&gt;6 Closed Won"))</f>
        <v/>
      </c>
      <c r="H9" s="16" t="str">
        <f aca="false">IF($D9="","",SUMIFS('Pipeline Review'!$N$5:$N$64,'Pipeline Review'!$B$5:$B$64,$D9,'Pipeline Review'!$F$5:$F$64,"&lt;&gt;Omit",'Pipeline Review'!$C$5:$C$64,"&lt;&gt;6 Closed Won"))</f>
        <v/>
      </c>
      <c r="I9" s="14" t="str">
        <f aca="false">IF($D9="","",COUNTIFS('Pipeline Review'!$B$5:$B$64,$D9,'Pipeline Review'!$C$5:$C$64,"&lt;&gt;",'Pipeline Review'!$C$5:$C$64,"&lt;&gt;6 Closed Won"))</f>
        <v/>
      </c>
      <c r="J9" s="14" t="str">
        <f aca="false">IF($D9="","",COUNTIFS('Pipeline Review'!$B$5:$B$64,$D9,'Pipeline Review'!$O$5:$O$64,"&lt;&gt;OK",'Pipeline Review'!$O$5:$O$64,"&lt;&gt;"))</f>
        <v/>
      </c>
    </row>
    <row r="10" customFormat="false" ht="15" hidden="false" customHeight="false" outlineLevel="0" collapsed="false">
      <c r="A10" s="17" t="s">
        <v>82</v>
      </c>
      <c r="B10" s="16" t="n">
        <f aca="false">SUMIFS('Pipeline Review'!$D$5:$D$64,'Pipeline Review'!$F$5:$F$64,"Pipeline",'Pipeline Review'!$C$5:$C$64,"&lt;&gt;6 Closed Won")</f>
        <v>1560000</v>
      </c>
      <c r="C10" s="18"/>
      <c r="D10" s="9"/>
      <c r="E10" s="16" t="str">
        <f aca="false">IF($D10="","",SUMIFS('Pipeline Review'!$D$5:$D$64,'Pipeline Review'!$B$5:$B$64,$D10,'Pipeline Review'!$F$5:$F$64,"Commit",'Pipeline Review'!$C$5:$C$64,"&lt;&gt;6 Closed Won"))</f>
        <v/>
      </c>
      <c r="F10" s="16" t="str">
        <f aca="false">IF($D10="","",SUMIFS('Pipeline Review'!$D$5:$D$64,'Pipeline Review'!$B$5:$B$64,$D10,'Pipeline Review'!$F$5:$F$64,"Best Case",'Pipeline Review'!$C$5:$C$64,"&lt;&gt;6 Closed Won"))</f>
        <v/>
      </c>
      <c r="G10" s="16" t="str">
        <f aca="false">IF($D10="","",SUMIFS('Pipeline Review'!$D$5:$D$64,'Pipeline Review'!$B$5:$B$64,$D10,'Pipeline Review'!$F$5:$F$64,"Pipeline",'Pipeline Review'!$C$5:$C$64,"&lt;&gt;6 Closed Won"))</f>
        <v/>
      </c>
      <c r="H10" s="16" t="str">
        <f aca="false">IF($D10="","",SUMIFS('Pipeline Review'!$N$5:$N$64,'Pipeline Review'!$B$5:$B$64,$D10,'Pipeline Review'!$F$5:$F$64,"&lt;&gt;Omit",'Pipeline Review'!$C$5:$C$64,"&lt;&gt;6 Closed Won"))</f>
        <v/>
      </c>
      <c r="I10" s="14" t="str">
        <f aca="false">IF($D10="","",COUNTIFS('Pipeline Review'!$B$5:$B$64,$D10,'Pipeline Review'!$C$5:$C$64,"&lt;&gt;",'Pipeline Review'!$C$5:$C$64,"&lt;&gt;6 Closed Won"))</f>
        <v/>
      </c>
      <c r="J10" s="14" t="str">
        <f aca="false">IF($D10="","",COUNTIFS('Pipeline Review'!$B$5:$B$64,$D10,'Pipeline Review'!$O$5:$O$64,"&lt;&gt;OK",'Pipeline Review'!$O$5:$O$64,"&lt;&gt;"))</f>
        <v/>
      </c>
    </row>
    <row r="11" customFormat="false" ht="15" hidden="false" customHeight="false" outlineLevel="0" collapsed="false">
      <c r="A11" s="17" t="s">
        <v>83</v>
      </c>
      <c r="B11" s="16" t="n">
        <f aca="false">B8+B9+B10</f>
        <v>2665000</v>
      </c>
      <c r="C11" s="18"/>
      <c r="D11" s="9"/>
      <c r="E11" s="16" t="str">
        <f aca="false">IF($D11="","",SUMIFS('Pipeline Review'!$D$5:$D$64,'Pipeline Review'!$B$5:$B$64,$D11,'Pipeline Review'!$F$5:$F$64,"Commit",'Pipeline Review'!$C$5:$C$64,"&lt;&gt;6 Closed Won"))</f>
        <v/>
      </c>
      <c r="F11" s="16" t="str">
        <f aca="false">IF($D11="","",SUMIFS('Pipeline Review'!$D$5:$D$64,'Pipeline Review'!$B$5:$B$64,$D11,'Pipeline Review'!$F$5:$F$64,"Best Case",'Pipeline Review'!$C$5:$C$64,"&lt;&gt;6 Closed Won"))</f>
        <v/>
      </c>
      <c r="G11" s="16" t="str">
        <f aca="false">IF($D11="","",SUMIFS('Pipeline Review'!$D$5:$D$64,'Pipeline Review'!$B$5:$B$64,$D11,'Pipeline Review'!$F$5:$F$64,"Pipeline",'Pipeline Review'!$C$5:$C$64,"&lt;&gt;6 Closed Won"))</f>
        <v/>
      </c>
      <c r="H11" s="16" t="str">
        <f aca="false">IF($D11="","",SUMIFS('Pipeline Review'!$N$5:$N$64,'Pipeline Review'!$B$5:$B$64,$D11,'Pipeline Review'!$F$5:$F$64,"&lt;&gt;Omit",'Pipeline Review'!$C$5:$C$64,"&lt;&gt;6 Closed Won"))</f>
        <v/>
      </c>
      <c r="I11" s="14" t="str">
        <f aca="false">IF($D11="","",COUNTIFS('Pipeline Review'!$B$5:$B$64,$D11,'Pipeline Review'!$C$5:$C$64,"&lt;&gt;",'Pipeline Review'!$C$5:$C$64,"&lt;&gt;6 Closed Won"))</f>
        <v/>
      </c>
      <c r="J11" s="14" t="str">
        <f aca="false">IF($D11="","",COUNTIFS('Pipeline Review'!$B$5:$B$64,$D11,'Pipeline Review'!$O$5:$O$64,"&lt;&gt;OK",'Pipeline Review'!$O$5:$O$64,"&lt;&gt;"))</f>
        <v/>
      </c>
    </row>
    <row r="12" customFormat="false" ht="15" hidden="false" customHeight="false" outlineLevel="0" collapsed="false">
      <c r="A12" s="17"/>
      <c r="B12" s="17"/>
      <c r="C12" s="18"/>
      <c r="D12" s="9"/>
      <c r="E12" s="16" t="str">
        <f aca="false">IF($D12="","",SUMIFS('Pipeline Review'!$D$5:$D$64,'Pipeline Review'!$B$5:$B$64,$D12,'Pipeline Review'!$F$5:$F$64,"Commit",'Pipeline Review'!$C$5:$C$64,"&lt;&gt;6 Closed Won"))</f>
        <v/>
      </c>
      <c r="F12" s="16" t="str">
        <f aca="false">IF($D12="","",SUMIFS('Pipeline Review'!$D$5:$D$64,'Pipeline Review'!$B$5:$B$64,$D12,'Pipeline Review'!$F$5:$F$64,"Best Case",'Pipeline Review'!$C$5:$C$64,"&lt;&gt;6 Closed Won"))</f>
        <v/>
      </c>
      <c r="G12" s="16" t="str">
        <f aca="false">IF($D12="","",SUMIFS('Pipeline Review'!$D$5:$D$64,'Pipeline Review'!$B$5:$B$64,$D12,'Pipeline Review'!$F$5:$F$64,"Pipeline",'Pipeline Review'!$C$5:$C$64,"&lt;&gt;6 Closed Won"))</f>
        <v/>
      </c>
      <c r="H12" s="16" t="str">
        <f aca="false">IF($D12="","",SUMIFS('Pipeline Review'!$N$5:$N$64,'Pipeline Review'!$B$5:$B$64,$D12,'Pipeline Review'!$F$5:$F$64,"&lt;&gt;Omit",'Pipeline Review'!$C$5:$C$64,"&lt;&gt;6 Closed Won"))</f>
        <v/>
      </c>
      <c r="I12" s="14" t="str">
        <f aca="false">IF($D12="","",COUNTIFS('Pipeline Review'!$B$5:$B$64,$D12,'Pipeline Review'!$C$5:$C$64,"&lt;&gt;",'Pipeline Review'!$C$5:$C$64,"&lt;&gt;6 Closed Won"))</f>
        <v/>
      </c>
      <c r="J12" s="14" t="str">
        <f aca="false">IF($D12="","",COUNTIFS('Pipeline Review'!$B$5:$B$64,$D12,'Pipeline Review'!$O$5:$O$64,"&lt;&gt;OK",'Pipeline Review'!$O$5:$O$64,"&lt;&gt;"))</f>
        <v/>
      </c>
    </row>
    <row r="13" customFormat="false" ht="15" hidden="false" customHeight="false" outlineLevel="0" collapsed="false">
      <c r="A13" s="17" t="s">
        <v>84</v>
      </c>
      <c r="B13" s="16" t="n">
        <f aca="false">B5+B8</f>
        <v>1305000</v>
      </c>
      <c r="C13" s="18"/>
      <c r="D13" s="9"/>
      <c r="E13" s="16" t="str">
        <f aca="false">IF($D13="","",SUMIFS('Pipeline Review'!$D$5:$D$64,'Pipeline Review'!$B$5:$B$64,$D13,'Pipeline Review'!$F$5:$F$64,"Commit",'Pipeline Review'!$C$5:$C$64,"&lt;&gt;6 Closed Won"))</f>
        <v/>
      </c>
      <c r="F13" s="16" t="str">
        <f aca="false">IF($D13="","",SUMIFS('Pipeline Review'!$D$5:$D$64,'Pipeline Review'!$B$5:$B$64,$D13,'Pipeline Review'!$F$5:$F$64,"Best Case",'Pipeline Review'!$C$5:$C$64,"&lt;&gt;6 Closed Won"))</f>
        <v/>
      </c>
      <c r="G13" s="16" t="str">
        <f aca="false">IF($D13="","",SUMIFS('Pipeline Review'!$D$5:$D$64,'Pipeline Review'!$B$5:$B$64,$D13,'Pipeline Review'!$F$5:$F$64,"Pipeline",'Pipeline Review'!$C$5:$C$64,"&lt;&gt;6 Closed Won"))</f>
        <v/>
      </c>
      <c r="H13" s="16" t="str">
        <f aca="false">IF($D13="","",SUMIFS('Pipeline Review'!$N$5:$N$64,'Pipeline Review'!$B$5:$B$64,$D13,'Pipeline Review'!$F$5:$F$64,"&lt;&gt;Omit",'Pipeline Review'!$C$5:$C$64,"&lt;&gt;6 Closed Won"))</f>
        <v/>
      </c>
      <c r="I13" s="14" t="str">
        <f aca="false">IF($D13="","",COUNTIFS('Pipeline Review'!$B$5:$B$64,$D13,'Pipeline Review'!$C$5:$C$64,"&lt;&gt;",'Pipeline Review'!$C$5:$C$64,"&lt;&gt;6 Closed Won"))</f>
        <v/>
      </c>
      <c r="J13" s="14" t="str">
        <f aca="false">IF($D13="","",COUNTIFS('Pipeline Review'!$B$5:$B$64,$D13,'Pipeline Review'!$O$5:$O$64,"&lt;&gt;OK",'Pipeline Review'!$O$5:$O$64,"&lt;&gt;"))</f>
        <v/>
      </c>
    </row>
    <row r="14" customFormat="false" ht="15" hidden="false" customHeight="false" outlineLevel="0" collapsed="false">
      <c r="A14" s="19" t="s">
        <v>85</v>
      </c>
      <c r="B14" s="20" t="n">
        <f aca="false">B5+B8+B9</f>
        <v>2205000</v>
      </c>
    </row>
    <row r="15" customFormat="false" ht="15" hidden="false" customHeight="false" outlineLevel="0" collapsed="false">
      <c r="A15" s="19" t="s">
        <v>86</v>
      </c>
      <c r="B15" s="20" t="n">
        <f aca="false">B5+SUMIFS('Pipeline Review'!$N$5:$N$64,'Pipeline Review'!$F$5:$F$64,"&lt;&gt;Omit",'Pipeline Review'!$C$5:$C$64,"&lt;&gt;6 Closed Won")</f>
        <v>1946000</v>
      </c>
    </row>
    <row r="16" customFormat="false" ht="15" hidden="false" customHeight="false" outlineLevel="0" collapsed="false">
      <c r="A16" s="21"/>
    </row>
    <row r="17" customFormat="false" ht="15" hidden="false" customHeight="false" outlineLevel="0" collapsed="false">
      <c r="A17" s="19" t="s">
        <v>87</v>
      </c>
      <c r="B17" s="22" t="n">
        <f aca="false">IF(B6&lt;=0,"Target met",B11/B6)</f>
        <v>1.40263157894737</v>
      </c>
    </row>
    <row r="18" customFormat="false" ht="15" hidden="false" customHeight="false" outlineLevel="0" collapsed="false">
      <c r="A18" s="19" t="s">
        <v>88</v>
      </c>
      <c r="B18" s="22" t="n">
        <f aca="false">Settings!B6</f>
        <v>3</v>
      </c>
    </row>
    <row r="19" customFormat="false" ht="15" hidden="false" customHeight="false" outlineLevel="0" collapsed="false">
      <c r="A19" s="19" t="s">
        <v>89</v>
      </c>
      <c r="B19" s="23" t="str">
        <f aca="false">IF(B6&lt;=0,"Target met",IF(B17&gt;=B18,"Healthy",IF(B17&gt;=B18*0.75,"Thin: build pipeline","Short: act now")))</f>
        <v>Short: act now</v>
      </c>
    </row>
    <row r="20" customFormat="false" ht="15" hidden="false" customHeight="false" outlineLevel="0" collapsed="false">
      <c r="A20" s="19" t="s">
        <v>90</v>
      </c>
      <c r="B20" s="24" t="n">
        <f aca="false">IF(B4=0,0,B13/B4)</f>
        <v>0.435</v>
      </c>
    </row>
    <row r="21" customFormat="false" ht="15" hidden="false" customHeight="false" outlineLevel="0" collapsed="false">
      <c r="A21" s="19" t="s">
        <v>91</v>
      </c>
      <c r="B21" s="24" t="n">
        <f aca="false">IF(B4=0,0,B14/B4)</f>
        <v>0.735</v>
      </c>
    </row>
    <row r="22" customFormat="false" ht="15" hidden="false" customHeight="false" outlineLevel="0" collapsed="false">
      <c r="A22" s="19" t="s">
        <v>92</v>
      </c>
      <c r="B22" s="24" t="n">
        <f aca="false">IF(B4=0,0,B15/B4)</f>
        <v>0.648666666666667</v>
      </c>
    </row>
    <row r="23" customFormat="false" ht="15" hidden="false" customHeight="false" outlineLevel="0" collapsed="false">
      <c r="A23" s="19" t="s">
        <v>93</v>
      </c>
      <c r="B23" s="25" t="n">
        <f aca="false">COUNTIF('Pipeline Review'!$O$5:$O$64,"Commit at risk*")+COUNTIF('Pipeline Review'!$O$5:$O$64,"Commit without*")</f>
        <v>1</v>
      </c>
    </row>
    <row r="26" customFormat="false" ht="15" hidden="false" customHeight="false" outlineLevel="0" collapsed="false">
      <c r="A26" s="26" t="s">
        <v>94</v>
      </c>
    </row>
  </sheetData>
  <conditionalFormatting sqref="B19">
    <cfRule type="cellIs" priority="2" operator="equal" aboveAverage="0" equalAverage="0" bottom="0" percent="0" rank="0" text="" dxfId="1">
      <formula>"Healthy"</formula>
    </cfRule>
    <cfRule type="cellIs" priority="3" operator="equal" aboveAverage="0" equalAverage="0" bottom="0" percent="0" rank="0" text="" dxfId="0">
      <formula>"Short: act now"</formula>
    </cfRule>
    <cfRule type="cellIs" priority="4" operator="equal" aboveAverage="0" equalAverage="0" bottom="0" percent="0" rank="0" text="" dxfId="2">
      <formula>"Thin: build pipeline"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AA244"/>
    <pageSetUpPr fitToPage="true"/>
  </sheetPr>
  <dimension ref="A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5" min="4" style="0" width="14"/>
    <col collapsed="false" customWidth="true" hidden="false" outlineLevel="0" max="6" min="6" style="0" width="17"/>
  </cols>
  <sheetData>
    <row r="1" customFormat="false" ht="19.7" hidden="false" customHeight="false" outlineLevel="0" collapsed="false">
      <c r="A1" s="1" t="s">
        <v>95</v>
      </c>
    </row>
    <row r="2" customFormat="false" ht="15" hidden="false" customHeight="false" outlineLevel="0" collapsed="false">
      <c r="A2" s="2" t="s">
        <v>96</v>
      </c>
    </row>
    <row r="4" customFormat="false" ht="31.5" hidden="false" customHeight="true" outlineLevel="0" collapsed="false">
      <c r="A4" s="8" t="s">
        <v>97</v>
      </c>
      <c r="B4" s="8" t="s">
        <v>98</v>
      </c>
      <c r="C4" s="8" t="s">
        <v>99</v>
      </c>
      <c r="D4" s="8" t="s">
        <v>33</v>
      </c>
      <c r="E4" s="8" t="s">
        <v>100</v>
      </c>
      <c r="F4" s="8" t="s">
        <v>101</v>
      </c>
    </row>
    <row r="5" customFormat="false" ht="15" hidden="false" customHeight="false" outlineLevel="0" collapsed="false">
      <c r="A5" s="9" t="s">
        <v>58</v>
      </c>
      <c r="B5" s="11" t="s">
        <v>35</v>
      </c>
      <c r="C5" s="12" t="n">
        <v>800000</v>
      </c>
      <c r="D5" s="15" t="n">
        <f aca="false">IF(B5="","",IFERROR(VLOOKUP(B5,Settings!$A$18:$B$20,2,FALSE()),0))</f>
        <v>1</v>
      </c>
      <c r="E5" s="27" t="n">
        <v>0.85</v>
      </c>
      <c r="F5" s="16" t="n">
        <f aca="false">IF(OR(B5="",C5=""),"",C5*D5*E5)</f>
        <v>680000</v>
      </c>
    </row>
    <row r="6" customFormat="false" ht="15" hidden="false" customHeight="false" outlineLevel="0" collapsed="false">
      <c r="A6" s="9" t="s">
        <v>62</v>
      </c>
      <c r="B6" s="11" t="s">
        <v>35</v>
      </c>
      <c r="C6" s="12" t="n">
        <v>800000</v>
      </c>
      <c r="D6" s="15" t="n">
        <f aca="false">IF(B6="","",IFERROR(VLOOKUP(B6,Settings!$A$18:$B$20,2,FALSE()),0))</f>
        <v>1</v>
      </c>
      <c r="E6" s="27" t="n">
        <v>0.7</v>
      </c>
      <c r="F6" s="16" t="n">
        <f aca="false">IF(OR(B6="",C6=""),"",C6*D6*E6)</f>
        <v>560000</v>
      </c>
    </row>
    <row r="7" customFormat="false" ht="15" hidden="false" customHeight="false" outlineLevel="0" collapsed="false">
      <c r="A7" s="9" t="s">
        <v>67</v>
      </c>
      <c r="B7" s="11" t="s">
        <v>35</v>
      </c>
      <c r="C7" s="12" t="n">
        <v>800000</v>
      </c>
      <c r="D7" s="15" t="n">
        <f aca="false">IF(B7="","",IFERROR(VLOOKUP(B7,Settings!$A$18:$B$20,2,FALSE()),0))</f>
        <v>1</v>
      </c>
      <c r="E7" s="27" t="n">
        <v>0.6</v>
      </c>
      <c r="F7" s="16" t="n">
        <f aca="false">IF(OR(B7="",C7=""),"",C7*D7*E7)</f>
        <v>480000</v>
      </c>
    </row>
    <row r="8" customFormat="false" ht="15" hidden="false" customHeight="false" outlineLevel="0" collapsed="false">
      <c r="A8" s="9" t="s">
        <v>102</v>
      </c>
      <c r="B8" s="11" t="s">
        <v>37</v>
      </c>
      <c r="C8" s="12" t="n">
        <v>800000</v>
      </c>
      <c r="D8" s="15" t="n">
        <f aca="false">IF(B8="","",IFERROR(VLOOKUP(B8,Settings!$A$18:$B$20,2,FALSE()),0))</f>
        <v>0.5</v>
      </c>
      <c r="E8" s="27" t="n">
        <v>0.6</v>
      </c>
      <c r="F8" s="16" t="n">
        <f aca="false">IF(OR(B8="",C8=""),"",C8*D8*E8)</f>
        <v>240000</v>
      </c>
    </row>
    <row r="9" customFormat="false" ht="15" hidden="false" customHeight="false" outlineLevel="0" collapsed="false">
      <c r="A9" s="9" t="s">
        <v>103</v>
      </c>
      <c r="B9" s="11" t="s">
        <v>39</v>
      </c>
      <c r="C9" s="12" t="n">
        <v>800000</v>
      </c>
      <c r="D9" s="15" t="n">
        <f aca="false">IF(B9="","",IFERROR(VLOOKUP(B9,Settings!$A$18:$B$20,2,FALSE()),0))</f>
        <v>0.25</v>
      </c>
      <c r="E9" s="27" t="n">
        <v>0.6</v>
      </c>
      <c r="F9" s="16" t="n">
        <f aca="false">IF(OR(B9="",C9=""),"",C9*D9*E9)</f>
        <v>120000</v>
      </c>
    </row>
    <row r="10" customFormat="false" ht="15" hidden="false" customHeight="false" outlineLevel="0" collapsed="false">
      <c r="A10" s="9"/>
      <c r="B10" s="11"/>
      <c r="C10" s="12"/>
      <c r="D10" s="15" t="str">
        <f aca="false">IF(B10="","",IFERROR(VLOOKUP(B10,Settings!$A$18:$B$20,2,FALSE()),0))</f>
        <v/>
      </c>
      <c r="E10" s="27"/>
      <c r="F10" s="16" t="str">
        <f aca="false">IF(OR(B10="",C10=""),"",C10*D10*E10)</f>
        <v/>
      </c>
    </row>
    <row r="11" customFormat="false" ht="15" hidden="false" customHeight="false" outlineLevel="0" collapsed="false">
      <c r="A11" s="9"/>
      <c r="B11" s="11"/>
      <c r="C11" s="12"/>
      <c r="D11" s="15" t="str">
        <f aca="false">IF(B11="","",IFERROR(VLOOKUP(B11,Settings!$A$18:$B$20,2,FALSE()),0))</f>
        <v/>
      </c>
      <c r="E11" s="27"/>
      <c r="F11" s="16" t="str">
        <f aca="false">IF(OR(B11="",C11=""),"",C11*D11*E11)</f>
        <v/>
      </c>
    </row>
    <row r="12" customFormat="false" ht="15" hidden="false" customHeight="false" outlineLevel="0" collapsed="false">
      <c r="A12" s="9"/>
      <c r="B12" s="11"/>
      <c r="C12" s="12"/>
      <c r="D12" s="15" t="str">
        <f aca="false">IF(B12="","",IFERROR(VLOOKUP(B12,Settings!$A$18:$B$20,2,FALSE()),0))</f>
        <v/>
      </c>
      <c r="E12" s="27"/>
      <c r="F12" s="16" t="str">
        <f aca="false">IF(OR(B12="",C12=""),"",C12*D12*E12)</f>
        <v/>
      </c>
    </row>
    <row r="13" customFormat="false" ht="15" hidden="false" customHeight="false" outlineLevel="0" collapsed="false">
      <c r="A13" s="9"/>
      <c r="B13" s="11"/>
      <c r="C13" s="12"/>
      <c r="D13" s="15" t="str">
        <f aca="false">IF(B13="","",IFERROR(VLOOKUP(B13,Settings!$A$18:$B$20,2,FALSE()),0))</f>
        <v/>
      </c>
      <c r="E13" s="27"/>
      <c r="F13" s="16" t="str">
        <f aca="false">IF(OR(B13="",C13=""),"",C13*D13*E13)</f>
        <v/>
      </c>
    </row>
    <row r="14" customFormat="false" ht="15" hidden="false" customHeight="false" outlineLevel="0" collapsed="false">
      <c r="A14" s="9"/>
      <c r="B14" s="11"/>
      <c r="C14" s="12"/>
      <c r="D14" s="15" t="str">
        <f aca="false">IF(B14="","",IFERROR(VLOOKUP(B14,Settings!$A$18:$B$20,2,FALSE()),0))</f>
        <v/>
      </c>
      <c r="E14" s="27"/>
      <c r="F14" s="16" t="str">
        <f aca="false">IF(OR(B14="",C14=""),"",C14*D14*E14)</f>
        <v/>
      </c>
    </row>
    <row r="15" customFormat="false" ht="15" hidden="false" customHeight="false" outlineLevel="0" collapsed="false">
      <c r="A15" s="9"/>
      <c r="B15" s="11"/>
      <c r="C15" s="12"/>
      <c r="D15" s="15" t="str">
        <f aca="false">IF(B15="","",IFERROR(VLOOKUP(B15,Settings!$A$18:$B$20,2,FALSE()),0))</f>
        <v/>
      </c>
      <c r="E15" s="27"/>
      <c r="F15" s="16" t="str">
        <f aca="false">IF(OR(B15="",C15=""),"",C15*D15*E15)</f>
        <v/>
      </c>
    </row>
    <row r="16" customFormat="false" ht="15" hidden="false" customHeight="false" outlineLevel="0" collapsed="false">
      <c r="A16" s="9"/>
      <c r="B16" s="11"/>
      <c r="C16" s="12"/>
      <c r="D16" s="15" t="str">
        <f aca="false">IF(B16="","",IFERROR(VLOOKUP(B16,Settings!$A$18:$B$20,2,FALSE()),0))</f>
        <v/>
      </c>
      <c r="E16" s="27"/>
      <c r="F16" s="16" t="str">
        <f aca="false">IF(OR(B16="",C16=""),"",C16*D16*E16)</f>
        <v/>
      </c>
    </row>
    <row r="17" customFormat="false" ht="15" hidden="false" customHeight="false" outlineLevel="0" collapsed="false">
      <c r="A17" s="9"/>
      <c r="B17" s="11"/>
      <c r="C17" s="12"/>
      <c r="D17" s="15" t="str">
        <f aca="false">IF(B17="","",IFERROR(VLOOKUP(B17,Settings!$A$18:$B$20,2,FALSE()),0))</f>
        <v/>
      </c>
      <c r="E17" s="27"/>
      <c r="F17" s="16" t="str">
        <f aca="false">IF(OR(B17="",C17=""),"",C17*D17*E17)</f>
        <v/>
      </c>
    </row>
    <row r="18" customFormat="false" ht="15" hidden="false" customHeight="false" outlineLevel="0" collapsed="false">
      <c r="A18" s="9"/>
      <c r="B18" s="11"/>
      <c r="C18" s="12"/>
      <c r="D18" s="15" t="str">
        <f aca="false">IF(B18="","",IFERROR(VLOOKUP(B18,Settings!$A$18:$B$20,2,FALSE()),0))</f>
        <v/>
      </c>
      <c r="E18" s="27"/>
      <c r="F18" s="16" t="str">
        <f aca="false">IF(OR(B18="",C18=""),"",C18*D18*E18)</f>
        <v/>
      </c>
    </row>
    <row r="19" customFormat="false" ht="15" hidden="false" customHeight="false" outlineLevel="0" collapsed="false">
      <c r="A19" s="9"/>
      <c r="B19" s="11"/>
      <c r="C19" s="12"/>
      <c r="D19" s="15" t="str">
        <f aca="false">IF(B19="","",IFERROR(VLOOKUP(B19,Settings!$A$18:$B$20,2,FALSE()),0))</f>
        <v/>
      </c>
      <c r="E19" s="27"/>
      <c r="F19" s="16" t="str">
        <f aca="false">IF(OR(B19="",C19=""),"",C19*D19*E19)</f>
        <v/>
      </c>
    </row>
    <row r="21" customFormat="false" ht="15" hidden="false" customHeight="false" outlineLevel="0" collapsed="false">
      <c r="A21" s="28" t="s">
        <v>104</v>
      </c>
      <c r="B21" s="29" t="n">
        <f aca="false">SUM(F5:F19)</f>
        <v>2080000</v>
      </c>
    </row>
    <row r="22" customFormat="false" ht="15" hidden="false" customHeight="false" outlineLevel="0" collapsed="false">
      <c r="A22" s="28" t="s">
        <v>105</v>
      </c>
      <c r="B22" s="29" t="n">
        <f aca="false">Settings!B4</f>
        <v>3000000</v>
      </c>
    </row>
    <row r="23" customFormat="false" ht="15" hidden="false" customHeight="false" outlineLevel="0" collapsed="false">
      <c r="A23" s="28" t="s">
        <v>106</v>
      </c>
      <c r="B23" s="30" t="n">
        <f aca="false">B21-B22</f>
        <v>-920000</v>
      </c>
    </row>
    <row r="24" customFormat="false" ht="15" hidden="false" customHeight="false" outlineLevel="0" collapsed="false">
      <c r="A24" s="28" t="s">
        <v>107</v>
      </c>
      <c r="B24" s="31" t="n">
        <f aca="false">IF(B22=0,0,B21/B22)</f>
        <v>0.693333333333333</v>
      </c>
    </row>
    <row r="25" customFormat="false" ht="15" hidden="false" customHeight="false" outlineLevel="0" collapsed="false">
      <c r="A25" s="28" t="s">
        <v>108</v>
      </c>
      <c r="B25" s="29" t="n">
        <f aca="false">IFERROR(AVERAGE(C5:C19),0)</f>
        <v>800000</v>
      </c>
    </row>
    <row r="26" customFormat="false" ht="15" hidden="false" customHeight="false" outlineLevel="0" collapsed="false">
      <c r="A26" s="28" t="s">
        <v>109</v>
      </c>
      <c r="B26" s="31" t="n">
        <f aca="false">IFERROR(AVERAGE(E5:E19),0)</f>
        <v>0.67</v>
      </c>
    </row>
    <row r="27" customFormat="false" ht="15" hidden="false" customHeight="false" outlineLevel="0" collapsed="false">
      <c r="A27" s="28" t="s">
        <v>110</v>
      </c>
      <c r="B27" s="32" t="n">
        <f aca="false">IF(B23&gt;=0,0,ROUNDUP(-B23/(B25*B26),0))</f>
        <v>2</v>
      </c>
    </row>
    <row r="28" customFormat="false" ht="15" hidden="false" customHeight="false" outlineLevel="0" collapsed="false">
      <c r="A28" s="28" t="s">
        <v>111</v>
      </c>
      <c r="B28" s="33" t="n">
        <f aca="false">IF(B22=0,0,SUM(C5:C19)/B22)</f>
        <v>1.33333333333333</v>
      </c>
    </row>
    <row r="30" customFormat="false" ht="32.8" hidden="false" customHeight="false" outlineLevel="0" collapsed="false">
      <c r="A30" s="34" t="s">
        <v>112</v>
      </c>
    </row>
  </sheetData>
  <dataValidations count="1">
    <dataValidation allowBlank="false" errorStyle="stop" operator="between" showDropDown="false" showErrorMessage="false" showInputMessage="false" sqref="B5:B19" type="list">
      <formula1>Settings!$A$18:$A$20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AA244"/>
    <pageSetUpPr fitToPage="true"/>
  </sheetPr>
  <dimension ref="A1:N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7" min="4" style="0" width="12"/>
    <col collapsed="false" customWidth="true" hidden="false" outlineLevel="0" max="8" min="8" style="0" width="10"/>
    <col collapsed="false" customWidth="true" hidden="false" outlineLevel="0" max="9" min="9" style="0" width="18"/>
    <col collapsed="false" customWidth="true" hidden="false" outlineLevel="0" max="10" min="10" style="0" width="22"/>
    <col collapsed="false" customWidth="true" hidden="false" outlineLevel="0" max="12" min="11" style="0" width="12"/>
    <col collapsed="false" customWidth="true" hidden="false" outlineLevel="0" max="13" min="13" style="0" width="11"/>
    <col collapsed="false" customWidth="true" hidden="false" outlineLevel="0" max="14" min="14" style="0" width="40"/>
  </cols>
  <sheetData>
    <row r="1" customFormat="false" ht="19.7" hidden="false" customHeight="false" outlineLevel="0" collapsed="false">
      <c r="A1" s="1" t="s">
        <v>113</v>
      </c>
    </row>
    <row r="2" customFormat="false" ht="15" hidden="false" customHeight="false" outlineLevel="0" collapsed="false">
      <c r="A2" s="2" t="s">
        <v>114</v>
      </c>
    </row>
    <row r="4" customFormat="false" ht="31.5" hidden="false" customHeight="true" outlineLevel="0" collapsed="false">
      <c r="A4" s="8" t="s">
        <v>44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8" t="s">
        <v>121</v>
      </c>
      <c r="I4" s="8" t="s">
        <v>122</v>
      </c>
      <c r="J4" s="8" t="s">
        <v>123</v>
      </c>
      <c r="K4" s="8" t="s">
        <v>124</v>
      </c>
      <c r="L4" s="8" t="s">
        <v>125</v>
      </c>
      <c r="M4" s="8" t="s">
        <v>126</v>
      </c>
      <c r="N4" s="8" t="s">
        <v>127</v>
      </c>
    </row>
    <row r="5" customFormat="false" ht="15" hidden="false" customHeight="false" outlineLevel="0" collapsed="false">
      <c r="A5" s="9" t="s">
        <v>58</v>
      </c>
      <c r="B5" s="11" t="n">
        <v>4</v>
      </c>
      <c r="C5" s="11" t="n">
        <v>3</v>
      </c>
      <c r="D5" s="11" t="n">
        <v>4</v>
      </c>
      <c r="E5" s="11" t="n">
        <v>3</v>
      </c>
      <c r="F5" s="11" t="n">
        <v>4</v>
      </c>
      <c r="G5" s="11" t="n">
        <v>4</v>
      </c>
      <c r="H5" s="35" t="n">
        <f aca="false">IF(COUNT(B5:G5)=0,"",AVERAGE(B5:G5))</f>
        <v>3.66666666666667</v>
      </c>
      <c r="I5" s="14" t="str">
        <f aca="false">IF(COUNT(B5:G5)=0,"",INDEX($B$4:$G$4,MATCH(MIN(B5:G5),B5:G5,0)))</f>
        <v>Qualification</v>
      </c>
      <c r="J5" s="9" t="s">
        <v>116</v>
      </c>
      <c r="K5" s="13" t="n">
        <v>46294</v>
      </c>
      <c r="L5" s="13" t="n">
        <v>46308</v>
      </c>
      <c r="M5" s="14" t="n">
        <f aca="true">IF(K5="","",TODAY()-K5)</f>
        <v>6</v>
      </c>
      <c r="N5" s="9"/>
    </row>
    <row r="6" customFormat="false" ht="15" hidden="false" customHeight="false" outlineLevel="0" collapsed="false">
      <c r="A6" s="9" t="s">
        <v>62</v>
      </c>
      <c r="B6" s="11" t="n">
        <v>3</v>
      </c>
      <c r="C6" s="11" t="n">
        <v>2</v>
      </c>
      <c r="D6" s="11" t="n">
        <v>3</v>
      </c>
      <c r="E6" s="11" t="n">
        <v>2</v>
      </c>
      <c r="F6" s="11" t="n">
        <v>2</v>
      </c>
      <c r="G6" s="11" t="n">
        <v>3</v>
      </c>
      <c r="H6" s="35" t="n">
        <f aca="false">IF(COUNT(B6:G6)=0,"",AVERAGE(B6:G6))</f>
        <v>2.5</v>
      </c>
      <c r="I6" s="14" t="str">
        <f aca="false">IF(COUNT(B6:G6)=0,"",INDEX($B$4:$G$4,MATCH(MIN(B6:G6),B6:G6,0)))</f>
        <v>Qualification</v>
      </c>
      <c r="J6" s="9" t="s">
        <v>119</v>
      </c>
      <c r="K6" s="13" t="n">
        <v>46288</v>
      </c>
      <c r="L6" s="13" t="n">
        <v>46302</v>
      </c>
      <c r="M6" s="14" t="n">
        <f aca="true">IF(K6="","",TODAY()-K6)</f>
        <v>12</v>
      </c>
      <c r="N6" s="9"/>
    </row>
    <row r="7" customFormat="false" ht="15" hidden="false" customHeight="false" outlineLevel="0" collapsed="false">
      <c r="A7" s="9" t="s">
        <v>67</v>
      </c>
      <c r="B7" s="11" t="n">
        <v>5</v>
      </c>
      <c r="C7" s="11" t="n">
        <v>4</v>
      </c>
      <c r="D7" s="11" t="n">
        <v>3</v>
      </c>
      <c r="E7" s="11" t="n">
        <v>4</v>
      </c>
      <c r="F7" s="11" t="n">
        <v>3</v>
      </c>
      <c r="G7" s="11" t="n">
        <v>2</v>
      </c>
      <c r="H7" s="35" t="n">
        <f aca="false">IF(COUNT(B7:G7)=0,"",AVERAGE(B7:G7))</f>
        <v>3.5</v>
      </c>
      <c r="I7" s="14" t="str">
        <f aca="false">IF(COUNT(B7:G7)=0,"",INDEX($B$4:$G$4,MATCH(MIN(B7:G7),B7:G7,0)))</f>
        <v>Forecast accuracy</v>
      </c>
      <c r="J7" s="9" t="s">
        <v>120</v>
      </c>
      <c r="K7" s="13" t="n">
        <v>46280</v>
      </c>
      <c r="L7" s="13" t="n">
        <v>46294</v>
      </c>
      <c r="M7" s="14" t="n">
        <f aca="true">IF(K7="","",TODAY()-K7)</f>
        <v>20</v>
      </c>
      <c r="N7" s="9"/>
    </row>
    <row r="8" customFormat="false" ht="15" hidden="false" customHeight="false" outlineLevel="0" collapsed="false">
      <c r="A8" s="9"/>
      <c r="B8" s="11"/>
      <c r="C8" s="11"/>
      <c r="D8" s="11"/>
      <c r="E8" s="11"/>
      <c r="F8" s="11"/>
      <c r="G8" s="11"/>
      <c r="H8" s="35" t="str">
        <f aca="false">IF(COUNT(B8:G8)=0,"",AVERAGE(B8:G8))</f>
        <v/>
      </c>
      <c r="I8" s="14" t="str">
        <f aca="false">IF(COUNT(B8:G8)=0,"",INDEX($B$4:$G$4,MATCH(MIN(B8:G8),B8:G8,0)))</f>
        <v/>
      </c>
      <c r="J8" s="9"/>
      <c r="K8" s="13"/>
      <c r="L8" s="13"/>
      <c r="M8" s="14" t="str">
        <f aca="true">IF(K8="","",TODAY()-K8)</f>
        <v/>
      </c>
      <c r="N8" s="9"/>
    </row>
    <row r="9" customFormat="false" ht="15" hidden="false" customHeight="false" outlineLevel="0" collapsed="false">
      <c r="A9" s="9"/>
      <c r="B9" s="11"/>
      <c r="C9" s="11"/>
      <c r="D9" s="11"/>
      <c r="E9" s="11"/>
      <c r="F9" s="11"/>
      <c r="G9" s="11"/>
      <c r="H9" s="35" t="str">
        <f aca="false">IF(COUNT(B9:G9)=0,"",AVERAGE(B9:G9))</f>
        <v/>
      </c>
      <c r="I9" s="14" t="str">
        <f aca="false">IF(COUNT(B9:G9)=0,"",INDEX($B$4:$G$4,MATCH(MIN(B9:G9),B9:G9,0)))</f>
        <v/>
      </c>
      <c r="J9" s="9"/>
      <c r="K9" s="13"/>
      <c r="L9" s="13"/>
      <c r="M9" s="14" t="str">
        <f aca="true">IF(K9="","",TODAY()-K9)</f>
        <v/>
      </c>
      <c r="N9" s="9"/>
    </row>
    <row r="10" customFormat="false" ht="15" hidden="false" customHeight="false" outlineLevel="0" collapsed="false">
      <c r="A10" s="9"/>
      <c r="B10" s="11"/>
      <c r="C10" s="11"/>
      <c r="D10" s="11"/>
      <c r="E10" s="11"/>
      <c r="F10" s="11"/>
      <c r="G10" s="11"/>
      <c r="H10" s="35" t="str">
        <f aca="false">IF(COUNT(B10:G10)=0,"",AVERAGE(B10:G10))</f>
        <v/>
      </c>
      <c r="I10" s="14" t="str">
        <f aca="false">IF(COUNT(B10:G10)=0,"",INDEX($B$4:$G$4,MATCH(MIN(B10:G10),B10:G10,0)))</f>
        <v/>
      </c>
      <c r="J10" s="9"/>
      <c r="K10" s="13"/>
      <c r="L10" s="13"/>
      <c r="M10" s="14" t="str">
        <f aca="true">IF(K10="","",TODAY()-K10)</f>
        <v/>
      </c>
      <c r="N10" s="9"/>
    </row>
    <row r="11" customFormat="false" ht="15" hidden="false" customHeight="false" outlineLevel="0" collapsed="false">
      <c r="A11" s="9"/>
      <c r="B11" s="11"/>
      <c r="C11" s="11"/>
      <c r="D11" s="11"/>
      <c r="E11" s="11"/>
      <c r="F11" s="11"/>
      <c r="G11" s="11"/>
      <c r="H11" s="35" t="str">
        <f aca="false">IF(COUNT(B11:G11)=0,"",AVERAGE(B11:G11))</f>
        <v/>
      </c>
      <c r="I11" s="14" t="str">
        <f aca="false">IF(COUNT(B11:G11)=0,"",INDEX($B$4:$G$4,MATCH(MIN(B11:G11),B11:G11,0)))</f>
        <v/>
      </c>
      <c r="J11" s="9"/>
      <c r="K11" s="13"/>
      <c r="L11" s="13"/>
      <c r="M11" s="14" t="str">
        <f aca="true">IF(K11="","",TODAY()-K11)</f>
        <v/>
      </c>
      <c r="N11" s="9"/>
    </row>
    <row r="12" customFormat="false" ht="15" hidden="false" customHeight="false" outlineLevel="0" collapsed="false">
      <c r="A12" s="9"/>
      <c r="B12" s="11"/>
      <c r="C12" s="11"/>
      <c r="D12" s="11"/>
      <c r="E12" s="11"/>
      <c r="F12" s="11"/>
      <c r="G12" s="11"/>
      <c r="H12" s="35" t="str">
        <f aca="false">IF(COUNT(B12:G12)=0,"",AVERAGE(B12:G12))</f>
        <v/>
      </c>
      <c r="I12" s="14" t="str">
        <f aca="false">IF(COUNT(B12:G12)=0,"",INDEX($B$4:$G$4,MATCH(MIN(B12:G12),B12:G12,0)))</f>
        <v/>
      </c>
      <c r="J12" s="9"/>
      <c r="K12" s="13"/>
      <c r="L12" s="13"/>
      <c r="M12" s="14" t="str">
        <f aca="true">IF(K12="","",TODAY()-K12)</f>
        <v/>
      </c>
      <c r="N12" s="9"/>
    </row>
    <row r="13" customFormat="false" ht="15" hidden="false" customHeight="false" outlineLevel="0" collapsed="false">
      <c r="A13" s="9"/>
      <c r="B13" s="11"/>
      <c r="C13" s="11"/>
      <c r="D13" s="11"/>
      <c r="E13" s="11"/>
      <c r="F13" s="11"/>
      <c r="G13" s="11"/>
      <c r="H13" s="35" t="str">
        <f aca="false">IF(COUNT(B13:G13)=0,"",AVERAGE(B13:G13))</f>
        <v/>
      </c>
      <c r="I13" s="14" t="str">
        <f aca="false">IF(COUNT(B13:G13)=0,"",INDEX($B$4:$G$4,MATCH(MIN(B13:G13),B13:G13,0)))</f>
        <v/>
      </c>
      <c r="J13" s="9"/>
      <c r="K13" s="13"/>
      <c r="L13" s="13"/>
      <c r="M13" s="14" t="str">
        <f aca="true">IF(K13="","",TODAY()-K13)</f>
        <v/>
      </c>
      <c r="N13" s="9"/>
    </row>
    <row r="14" customFormat="false" ht="15" hidden="false" customHeight="false" outlineLevel="0" collapsed="false">
      <c r="A14" s="9"/>
      <c r="B14" s="11"/>
      <c r="C14" s="11"/>
      <c r="D14" s="11"/>
      <c r="E14" s="11"/>
      <c r="F14" s="11"/>
      <c r="G14" s="11"/>
      <c r="H14" s="35" t="str">
        <f aca="false">IF(COUNT(B14:G14)=0,"",AVERAGE(B14:G14))</f>
        <v/>
      </c>
      <c r="I14" s="14" t="str">
        <f aca="false">IF(COUNT(B14:G14)=0,"",INDEX($B$4:$G$4,MATCH(MIN(B14:G14),B14:G14,0)))</f>
        <v/>
      </c>
      <c r="J14" s="9"/>
      <c r="K14" s="13"/>
      <c r="L14" s="13"/>
      <c r="M14" s="14" t="str">
        <f aca="true">IF(K14="","",TODAY()-K14)</f>
        <v/>
      </c>
      <c r="N14" s="9"/>
    </row>
    <row r="15" customFormat="false" ht="15" hidden="false" customHeight="false" outlineLevel="0" collapsed="false">
      <c r="A15" s="9"/>
      <c r="B15" s="11"/>
      <c r="C15" s="11"/>
      <c r="D15" s="11"/>
      <c r="E15" s="11"/>
      <c r="F15" s="11"/>
      <c r="G15" s="11"/>
      <c r="H15" s="35" t="str">
        <f aca="false">IF(COUNT(B15:G15)=0,"",AVERAGE(B15:G15))</f>
        <v/>
      </c>
      <c r="I15" s="14" t="str">
        <f aca="false">IF(COUNT(B15:G15)=0,"",INDEX($B$4:$G$4,MATCH(MIN(B15:G15),B15:G15,0)))</f>
        <v/>
      </c>
      <c r="J15" s="9"/>
      <c r="K15" s="13"/>
      <c r="L15" s="13"/>
      <c r="M15" s="14" t="str">
        <f aca="true">IF(K15="","",TODAY()-K15)</f>
        <v/>
      </c>
      <c r="N15" s="9"/>
    </row>
    <row r="16" customFormat="false" ht="15" hidden="false" customHeight="false" outlineLevel="0" collapsed="false">
      <c r="A16" s="9"/>
      <c r="B16" s="11"/>
      <c r="C16" s="11"/>
      <c r="D16" s="11"/>
      <c r="E16" s="11"/>
      <c r="F16" s="11"/>
      <c r="G16" s="11"/>
      <c r="H16" s="35" t="str">
        <f aca="false">IF(COUNT(B16:G16)=0,"",AVERAGE(B16:G16))</f>
        <v/>
      </c>
      <c r="I16" s="14" t="str">
        <f aca="false">IF(COUNT(B16:G16)=0,"",INDEX($B$4:$G$4,MATCH(MIN(B16:G16),B16:G16,0)))</f>
        <v/>
      </c>
      <c r="J16" s="9"/>
      <c r="K16" s="13"/>
      <c r="L16" s="13"/>
      <c r="M16" s="14" t="str">
        <f aca="true">IF(K16="","",TODAY()-K16)</f>
        <v/>
      </c>
      <c r="N16" s="9"/>
    </row>
    <row r="18" customFormat="false" ht="15" hidden="false" customHeight="false" outlineLevel="0" collapsed="false">
      <c r="A18" s="5" t="s">
        <v>128</v>
      </c>
      <c r="B18" s="36" t="n">
        <f aca="false">IFERROR(AVERAGE(B5:B16),"")</f>
        <v>4</v>
      </c>
      <c r="C18" s="36" t="n">
        <f aca="false">IFERROR(AVERAGE(C5:C16),"")</f>
        <v>3</v>
      </c>
      <c r="D18" s="36" t="n">
        <f aca="false">IFERROR(AVERAGE(D5:D16),"")</f>
        <v>3.33333333333333</v>
      </c>
      <c r="E18" s="36" t="n">
        <f aca="false">IFERROR(AVERAGE(E5:E16),"")</f>
        <v>3</v>
      </c>
      <c r="F18" s="36" t="n">
        <f aca="false">IFERROR(AVERAGE(F5:F16),"")</f>
        <v>3</v>
      </c>
      <c r="G18" s="36" t="n">
        <f aca="false">IFERROR(AVERAGE(G5:G16),"")</f>
        <v>3</v>
      </c>
    </row>
    <row r="19" customFormat="false" ht="15" hidden="false" customHeight="false" outlineLevel="0" collapsed="false">
      <c r="A19" s="5" t="s">
        <v>129</v>
      </c>
      <c r="B19" s="5" t="str">
        <f aca="false">IFERROR(INDEX(B4:G4,MATCH(MIN(B18:G18),B18:G18,0)),"")</f>
        <v>Qualification</v>
      </c>
    </row>
    <row r="21" customFormat="false" ht="15" hidden="false" customHeight="false" outlineLevel="0" collapsed="false">
      <c r="A21" s="26" t="s">
        <v>130</v>
      </c>
    </row>
  </sheetData>
  <conditionalFormatting sqref="B5:G16">
    <cfRule type="cellIs" priority="2" operator="lessThanOrEqual" aboveAverage="0" equalAverage="0" bottom="0" percent="0" rank="0" text="" dxfId="0">
      <formula>2</formula>
    </cfRule>
    <cfRule type="cellIs" priority="3" operator="greaterThanOrEqual" aboveAverage="0" equalAverage="0" bottom="0" percent="0" rank="0" text="" dxfId="1">
      <formula>4</formula>
    </cfRule>
  </conditionalFormatting>
  <conditionalFormatting sqref="M5:M16">
    <cfRule type="cellIs" priority="4" operator="greaterThan" aboveAverage="0" equalAverage="0" bottom="0" percent="0" rank="0" text="" dxfId="0">
      <formula>14</formula>
    </cfRule>
  </conditionalFormatting>
  <dataValidations count="1">
    <dataValidation allowBlank="false" errorStyle="stop" operator="between" showDropDown="false" showErrorMessage="false" showInputMessage="false" sqref="B5:G16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2026-10-05T17:24:18Z</dcterms:created>
  <dc:creator>openpyxl</dc:creator>
  <dc:description/>
  <dc:language>en-US</dc:language>
  <cp:lastModifiedBy/>
  <dcterms:modified xsi:type="dcterms:W3CDTF">2026-10-05T17:24:18Z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